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9440" windowHeight="12300" tabRatio="785" activeTab="5"/>
  </bookViews>
  <sheets>
    <sheet name="Koond" sheetId="1" r:id="rId1"/>
    <sheet name="Kärdla" sheetId="2" r:id="rId2"/>
    <sheet name="Emmaste" sheetId="3" r:id="rId3"/>
    <sheet name="Kõrgesssaare" sheetId="4" r:id="rId4"/>
    <sheet name="Käina" sheetId="5" r:id="rId5"/>
    <sheet name="Pühalepa" sheetId="6" r:id="rId6"/>
    <sheet name="1" sheetId="7" r:id="rId7"/>
    <sheet name="2" sheetId="8" r:id="rId8"/>
    <sheet name="3" sheetId="9" r:id="rId9"/>
    <sheet name="4" sheetId="10" r:id="rId10"/>
    <sheet name="5" sheetId="11" r:id="rId11"/>
    <sheet name="6" sheetId="12" r:id="rId12"/>
    <sheet name="7" sheetId="13" r:id="rId13"/>
    <sheet name="8" sheetId="14" r:id="rId14"/>
  </sheets>
  <definedNames/>
  <calcPr fullCalcOnLoad="1"/>
</workbook>
</file>

<file path=xl/sharedStrings.xml><?xml version="1.0" encoding="utf-8"?>
<sst xmlns="http://schemas.openxmlformats.org/spreadsheetml/2006/main" count="565" uniqueCount="111">
  <si>
    <t>2011 täitmine</t>
  </si>
  <si>
    <t>2012 eeldatav täitmine</t>
  </si>
  <si>
    <t xml:space="preserve">2013 eelarve  </t>
  </si>
  <si>
    <t xml:space="preserve">2014 eelarve  </t>
  </si>
  <si>
    <t xml:space="preserve">2015 eelarve  </t>
  </si>
  <si>
    <t xml:space="preserve">2016 eelarve  </t>
  </si>
  <si>
    <t>Põhitegevuse tulud kokku</t>
  </si>
  <si>
    <t xml:space="preserve">     Maksutulud</t>
  </si>
  <si>
    <t xml:space="preserve">          sh tulumaks</t>
  </si>
  <si>
    <t xml:space="preserve">          sh maamaks</t>
  </si>
  <si>
    <t xml:space="preserve">          sh muud maksutulud</t>
  </si>
  <si>
    <t xml:space="preserve">    Tulud kaupade ja teenuste müügist</t>
  </si>
  <si>
    <t xml:space="preserve">    Saadavad toetused tegevuskuludeks</t>
  </si>
  <si>
    <t xml:space="preserve">         sh  tasandusfond ( lg 1)</t>
  </si>
  <si>
    <t xml:space="preserve">         sh  toetusfond ( lg 2)</t>
  </si>
  <si>
    <t xml:space="preserve">         sh muud saadud toetused tegevuskuludeks</t>
  </si>
  <si>
    <t xml:space="preserve">     Muud tegevustulud</t>
  </si>
  <si>
    <t>Põhitegevuse kulud kokku</t>
  </si>
  <si>
    <t xml:space="preserve">     Antavad toetused tegevuskuludeks</t>
  </si>
  <si>
    <t xml:space="preserve">     Muud tegevuskulud</t>
  </si>
  <si>
    <t xml:space="preserve">          sh personalikulud</t>
  </si>
  <si>
    <t xml:space="preserve">          sh majandamiskulud</t>
  </si>
  <si>
    <r>
      <t xml:space="preserve">             sh alates </t>
    </r>
    <r>
      <rPr>
        <b/>
        <i/>
        <sz val="8"/>
        <rFont val="Arial"/>
        <family val="2"/>
      </rPr>
      <t>2012</t>
    </r>
    <r>
      <rPr>
        <i/>
        <sz val="8"/>
        <rFont val="Arial"/>
        <family val="2"/>
      </rPr>
      <t xml:space="preserve"> sõlmitud katkestamatud kasutusrendimaksed </t>
    </r>
  </si>
  <si>
    <t xml:space="preserve">          sh muud kulud</t>
  </si>
  <si>
    <t>Põhitegevuse tulem</t>
  </si>
  <si>
    <t>Investeerimistegevus kokku</t>
  </si>
  <si>
    <t xml:space="preserve">    Põhivara müük (+)</t>
  </si>
  <si>
    <t xml:space="preserve">    Põhivara soetus (-)</t>
  </si>
  <si>
    <t xml:space="preserve">         sh projektide omaosalus</t>
  </si>
  <si>
    <t xml:space="preserve">   Põhivara soetuseks saadav sihtfinantseerimine (+)</t>
  </si>
  <si>
    <t xml:space="preserve">   Põhivara soetuseks antav sihtfinantseerimine (-)</t>
  </si>
  <si>
    <t xml:space="preserve">   Osaluste ning muude aktsiate ja osade müük (+)</t>
  </si>
  <si>
    <t xml:space="preserve">   Osaluste ning muude aktsiate ja osade soetus (-)</t>
  </si>
  <si>
    <t xml:space="preserve">   Tagasilaekuvad laenud (+)</t>
  </si>
  <si>
    <t xml:space="preserve">   Antavad laenud (-)</t>
  </si>
  <si>
    <t xml:space="preserve">   Finantstulud (+)</t>
  </si>
  <si>
    <t xml:space="preserve">   Finantskulud (-)</t>
  </si>
  <si>
    <t>Eelarve tulem</t>
  </si>
  <si>
    <t>Finantseerimistegevus</t>
  </si>
  <si>
    <t xml:space="preserve">   Kohustuste võtmine (+)</t>
  </si>
  <si>
    <t xml:space="preserve">   Kohustuste tasumine (-)</t>
  </si>
  <si>
    <t>Likviidsete varade muutus (+ suurenemine, - vähenemine)</t>
  </si>
  <si>
    <t>Nõuete ja kohustuste saldode muutus (tekkepõhise e/a korral) (+ suurenemine /- vähenemine)</t>
  </si>
  <si>
    <t>Likviidsete varade suunamata jääk aasta lõpuks</t>
  </si>
  <si>
    <t>Võlakohustused kokku aasta lõpu seisuga</t>
  </si>
  <si>
    <t xml:space="preserve">    sh sildfinantseering</t>
  </si>
  <si>
    <r>
      <t>Netovõlakoormus (</t>
    </r>
    <r>
      <rPr>
        <b/>
        <u val="single"/>
        <sz val="10"/>
        <rFont val="Arial"/>
        <family val="2"/>
      </rPr>
      <t>eurodes</t>
    </r>
    <r>
      <rPr>
        <b/>
        <sz val="10"/>
        <rFont val="Arial"/>
        <family val="2"/>
      </rPr>
      <t>)</t>
    </r>
  </si>
  <si>
    <r>
      <t>Netovõlakoormus (</t>
    </r>
    <r>
      <rPr>
        <b/>
        <u val="single"/>
        <sz val="10"/>
        <rFont val="Arial"/>
        <family val="2"/>
      </rPr>
      <t>%</t>
    </r>
    <r>
      <rPr>
        <b/>
        <sz val="10"/>
        <rFont val="Arial"/>
        <family val="2"/>
      </rPr>
      <t>)</t>
    </r>
  </si>
  <si>
    <r>
      <t>Netovõlakoormuse ülemmäär (</t>
    </r>
    <r>
      <rPr>
        <b/>
        <u val="single"/>
        <sz val="10"/>
        <rFont val="Arial"/>
        <family val="2"/>
      </rPr>
      <t>eurodes</t>
    </r>
    <r>
      <rPr>
        <b/>
        <sz val="10"/>
        <rFont val="Arial"/>
        <family val="2"/>
      </rPr>
      <t>)</t>
    </r>
  </si>
  <si>
    <r>
      <t>Netovõlakoormuse ülemmäär (</t>
    </r>
    <r>
      <rPr>
        <b/>
        <u val="single"/>
        <sz val="10"/>
        <rFont val="Arial"/>
        <family val="2"/>
      </rPr>
      <t>%</t>
    </r>
    <r>
      <rPr>
        <b/>
        <sz val="10"/>
        <rFont val="Arial"/>
        <family val="2"/>
      </rPr>
      <t>)</t>
    </r>
  </si>
  <si>
    <t>Vaba netovõlakoormus (eurodes)</t>
  </si>
  <si>
    <t>E/a kontroll (tasakaal)</t>
  </si>
  <si>
    <t>Põhitegevuse tulude muutus</t>
  </si>
  <si>
    <t>-</t>
  </si>
  <si>
    <t>Põhitegevuse kulude muutus</t>
  </si>
  <si>
    <t>Omafinantseerimise võimekuse näitaja</t>
  </si>
  <si>
    <t>TORMA VALLAVALITSUS</t>
  </si>
  <si>
    <t>Investeeringuprojektid* (alati "+" märgiga)</t>
  </si>
  <si>
    <t>projekt 1  Vallateed</t>
  </si>
  <si>
    <t>sh toetuse arvelt</t>
  </si>
  <si>
    <t>sh muude vahendite arvelt (omaosalus)</t>
  </si>
  <si>
    <t>projekt 2 Lasteaia rühmade põrandad</t>
  </si>
  <si>
    <t>projekt 3 Lasteaia paviljon ROMANTIKA</t>
  </si>
  <si>
    <t>projekt 4</t>
  </si>
  <si>
    <t>…</t>
  </si>
  <si>
    <t>Eelpool nimetamata muud projektid kokku</t>
  </si>
  <si>
    <t>KÕIK KOKKU</t>
  </si>
  <si>
    <t>* Tähtsamad investeeringuprojektid tuua eraldi välja (KOIT, ÜF, LPA, PKT)</t>
  </si>
  <si>
    <t>Hiiumaa</t>
  </si>
  <si>
    <t>Käina valla eelarvestrateegia vastu võetud 27.09.2012</t>
  </si>
  <si>
    <t xml:space="preserve">Täitmine 2011 </t>
  </si>
  <si>
    <t>Prognoos 2012</t>
  </si>
  <si>
    <t>Prognoos 2013</t>
  </si>
  <si>
    <t>Prognoos 2014</t>
  </si>
  <si>
    <t>Prognoos 2015</t>
  </si>
  <si>
    <t>Prognoos 2016</t>
  </si>
  <si>
    <r>
      <t xml:space="preserve">             sh alates </t>
    </r>
    <r>
      <rPr>
        <b/>
        <i/>
        <sz val="12"/>
        <rFont val="Times New Roman"/>
        <family val="1"/>
      </rPr>
      <t>2012</t>
    </r>
    <r>
      <rPr>
        <i/>
        <sz val="12"/>
        <rFont val="Times New Roman"/>
        <family val="1"/>
      </rPr>
      <t xml:space="preserve"> sõlmitud katkestamatud kasutusrendimaksed </t>
    </r>
  </si>
  <si>
    <r>
      <t>Netovõlakoormus (</t>
    </r>
    <r>
      <rPr>
        <b/>
        <u val="single"/>
        <sz val="12"/>
        <rFont val="Times New Roman"/>
        <family val="1"/>
      </rPr>
      <t>eurodes</t>
    </r>
    <r>
      <rPr>
        <b/>
        <sz val="12"/>
        <rFont val="Times New Roman"/>
        <family val="1"/>
      </rPr>
      <t>)</t>
    </r>
  </si>
  <si>
    <r>
      <t>Netovõlakoormus (</t>
    </r>
    <r>
      <rPr>
        <b/>
        <u val="single"/>
        <sz val="12"/>
        <rFont val="Times New Roman"/>
        <family val="1"/>
      </rPr>
      <t>%</t>
    </r>
    <r>
      <rPr>
        <b/>
        <sz val="12"/>
        <rFont val="Times New Roman"/>
        <family val="1"/>
      </rPr>
      <t>)</t>
    </r>
  </si>
  <si>
    <r>
      <t>Netovõlakoormuse ülemmäär (</t>
    </r>
    <r>
      <rPr>
        <b/>
        <u val="single"/>
        <sz val="12"/>
        <rFont val="Times New Roman"/>
        <family val="1"/>
      </rPr>
      <t>eurodes</t>
    </r>
    <r>
      <rPr>
        <b/>
        <sz val="12"/>
        <rFont val="Times New Roman"/>
        <family val="1"/>
      </rPr>
      <t>)</t>
    </r>
  </si>
  <si>
    <r>
      <t>Netovõlakoormuse ülemmäär (</t>
    </r>
    <r>
      <rPr>
        <b/>
        <u val="single"/>
        <sz val="12"/>
        <rFont val="Times New Roman"/>
        <family val="1"/>
      </rPr>
      <t>%</t>
    </r>
    <r>
      <rPr>
        <b/>
        <sz val="12"/>
        <rFont val="Times New Roman"/>
        <family val="1"/>
      </rPr>
      <t>)</t>
    </r>
  </si>
  <si>
    <t>Investeeringuprojektid*</t>
  </si>
  <si>
    <t>projekt 1 Orjaku sadama arendamine</t>
  </si>
  <si>
    <t>projekt 2  Käina kultuurikeskuse rekonstrueerimine</t>
  </si>
  <si>
    <t>projekt 3  Spordirajatiste ehitamine</t>
  </si>
  <si>
    <t>projekt 4 Käina tööstusala arendamine</t>
  </si>
  <si>
    <t>projekt 5 Noorte perede krundid</t>
  </si>
  <si>
    <t xml:space="preserve">projekt 6 </t>
  </si>
  <si>
    <t xml:space="preserve">projekt 7 </t>
  </si>
  <si>
    <t>Kärdla linn 20.09.2012</t>
  </si>
  <si>
    <t>Ridu juurde teha ei tohi, va alates reast 68!</t>
  </si>
  <si>
    <t xml:space="preserve">2011 ja 2012 täituvad automaatselt eelarvearuande lehelt!!! </t>
  </si>
  <si>
    <t>Valemeid ei tohi üle kirjutada!</t>
  </si>
  <si>
    <t>projekt 1 (Kärdla lasteaia veevarustus II etapp)</t>
  </si>
  <si>
    <t>projekt (Kärdla Külalissadama ehitus)</t>
  </si>
  <si>
    <t>projekt 3</t>
  </si>
  <si>
    <t>PÜHALEPA VALLAVALITSUS  eelarvestrateegia vastu võetud 25.09.2012</t>
  </si>
  <si>
    <t>projekt 1 KOIT- Palade lasteaia rekonstrueerimine</t>
  </si>
  <si>
    <t>projekt 2 LHK - Palade Loodushariduskeskuse kekkonnahariduse laiendamine</t>
  </si>
  <si>
    <t>projekt 3 CO2 Pühalepa valla Kultuuri- ja Noortekeskuse spordihoone</t>
  </si>
  <si>
    <t>projekt 4 EAS (hasart) Palade Põhikooli rekonstrueerimine VI etapp</t>
  </si>
  <si>
    <t>Emmaste 30.08.2012</t>
  </si>
  <si>
    <t>projekt 1 Emmaste spordihalli rekonstrueerimine</t>
  </si>
  <si>
    <t>projekt 2 Emmaste spordihalli,põhikooli,aktiviseerimiskeskuse kütte rek.tööd I ja II etapp</t>
  </si>
  <si>
    <t>projekt 3 Põhikooli algklasside põrandate vahetus ja soojustus</t>
  </si>
  <si>
    <t>projekt 4 Emmaste küla ühisveevärgi rek I etapp</t>
  </si>
  <si>
    <t>Kõrgessaare Vallavalitsus
14.09.12 määrus 54</t>
  </si>
  <si>
    <t>Tervisemaja</t>
  </si>
  <si>
    <t>Valitsejamaja</t>
  </si>
  <si>
    <t>ÜVK</t>
  </si>
  <si>
    <t>Küttesüsteem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</si>
</sst>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%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10"/>
      <name val="Times New Roman"/>
      <family val="1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2"/>
      <color theme="0"/>
      <name val="Times New Roman"/>
      <family val="1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FF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/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23" borderId="3" applyNumberFormat="0" applyAlignment="0" applyProtection="0"/>
    <xf numFmtId="0" fontId="46" fillId="0" borderId="4" applyNumberFormat="0" applyFill="0" applyAlignment="0" applyProtection="0"/>
    <xf numFmtId="0" fontId="0" fillId="24" borderId="5" applyNumberFormat="0" applyFont="0" applyAlignment="0" applyProtection="0"/>
    <xf numFmtId="0" fontId="47" fillId="25" borderId="0" applyNumberFormat="0" applyBorder="0" applyAlignment="0" applyProtection="0"/>
    <xf numFmtId="0" fontId="4" fillId="0" borderId="0">
      <alignment/>
      <protection/>
    </xf>
    <xf numFmtId="0" fontId="8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20" borderId="9" applyNumberFormat="0" applyAlignment="0" applyProtection="0"/>
  </cellStyleXfs>
  <cellXfs count="30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NumberFormat="1" applyFont="1" applyFill="1" applyBorder="1" applyAlignment="1">
      <alignment horizontal="center" wrapText="1"/>
    </xf>
    <xf numFmtId="0" fontId="2" fillId="0" borderId="12" xfId="0" applyFont="1" applyBorder="1" applyAlignment="1">
      <alignment horizontal="left" vertical="center"/>
    </xf>
    <xf numFmtId="3" fontId="2" fillId="34" borderId="13" xfId="0" applyNumberFormat="1" applyFont="1" applyFill="1" applyBorder="1" applyAlignment="1">
      <alignment horizontal="right" wrapText="1"/>
    </xf>
    <xf numFmtId="3" fontId="2" fillId="34" borderId="14" xfId="0" applyNumberFormat="1" applyFont="1" applyFill="1" applyBorder="1" applyAlignment="1">
      <alignment horizontal="right" wrapText="1"/>
    </xf>
    <xf numFmtId="0" fontId="3" fillId="0" borderId="15" xfId="0" applyFont="1" applyFill="1" applyBorder="1" applyAlignment="1">
      <alignment horizontal="left" vertical="center"/>
    </xf>
    <xf numFmtId="3" fontId="4" fillId="34" borderId="16" xfId="0" applyNumberFormat="1" applyFont="1" applyFill="1" applyBorder="1" applyAlignment="1">
      <alignment wrapText="1"/>
    </xf>
    <xf numFmtId="3" fontId="4" fillId="34" borderId="17" xfId="0" applyNumberFormat="1" applyFont="1" applyFill="1" applyBorder="1" applyAlignment="1">
      <alignment wrapText="1"/>
    </xf>
    <xf numFmtId="3" fontId="4" fillId="0" borderId="16" xfId="0" applyNumberFormat="1" applyFont="1" applyFill="1" applyBorder="1" applyAlignment="1">
      <alignment/>
    </xf>
    <xf numFmtId="3" fontId="4" fillId="34" borderId="18" xfId="0" applyNumberFormat="1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center"/>
    </xf>
    <xf numFmtId="3" fontId="2" fillId="34" borderId="18" xfId="0" applyNumberFormat="1" applyFont="1" applyFill="1" applyBorder="1" applyAlignment="1">
      <alignment wrapText="1"/>
    </xf>
    <xf numFmtId="3" fontId="2" fillId="34" borderId="16" xfId="0" applyNumberFormat="1" applyFont="1" applyFill="1" applyBorder="1" applyAlignment="1">
      <alignment wrapText="1"/>
    </xf>
    <xf numFmtId="3" fontId="2" fillId="34" borderId="17" xfId="0" applyNumberFormat="1" applyFont="1" applyFill="1" applyBorder="1" applyAlignment="1">
      <alignment wrapText="1"/>
    </xf>
    <xf numFmtId="0" fontId="5" fillId="35" borderId="15" xfId="0" applyFont="1" applyFill="1" applyBorder="1" applyAlignment="1">
      <alignment horizontal="left" vertical="center"/>
    </xf>
    <xf numFmtId="0" fontId="2" fillId="36" borderId="19" xfId="0" applyFont="1" applyFill="1" applyBorder="1" applyAlignment="1">
      <alignment horizontal="left" vertical="center"/>
    </xf>
    <xf numFmtId="3" fontId="2" fillId="34" borderId="18" xfId="0" applyNumberFormat="1" applyFont="1" applyFill="1" applyBorder="1" applyAlignment="1">
      <alignment wrapText="1"/>
    </xf>
    <xf numFmtId="3" fontId="2" fillId="34" borderId="16" xfId="0" applyNumberFormat="1" applyFont="1" applyFill="1" applyBorder="1" applyAlignment="1">
      <alignment wrapText="1"/>
    </xf>
    <xf numFmtId="3" fontId="2" fillId="34" borderId="17" xfId="0" applyNumberFormat="1" applyFont="1" applyFill="1" applyBorder="1" applyAlignment="1">
      <alignment wrapText="1"/>
    </xf>
    <xf numFmtId="0" fontId="2" fillId="0" borderId="20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left" wrapText="1"/>
    </xf>
    <xf numFmtId="49" fontId="5" fillId="0" borderId="20" xfId="0" applyNumberFormat="1" applyFont="1" applyFill="1" applyBorder="1" applyAlignment="1">
      <alignment horizontal="left" wrapText="1"/>
    </xf>
    <xf numFmtId="0" fontId="7" fillId="0" borderId="20" xfId="0" applyFont="1" applyFill="1" applyBorder="1" applyAlignment="1">
      <alignment horizontal="left" wrapText="1"/>
    </xf>
    <xf numFmtId="0" fontId="3" fillId="0" borderId="20" xfId="45" applyFont="1" applyFill="1" applyBorder="1">
      <alignment/>
      <protection/>
    </xf>
    <xf numFmtId="0" fontId="3" fillId="0" borderId="19" xfId="0" applyFont="1" applyFill="1" applyBorder="1" applyAlignment="1">
      <alignment horizontal="left"/>
    </xf>
    <xf numFmtId="0" fontId="3" fillId="0" borderId="20" xfId="45" applyFont="1" applyFill="1" applyBorder="1" applyAlignment="1">
      <alignment/>
      <protection/>
    </xf>
    <xf numFmtId="0" fontId="3" fillId="0" borderId="21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19" xfId="0" applyBorder="1" applyAlignment="1">
      <alignment/>
    </xf>
    <xf numFmtId="0" fontId="4" fillId="37" borderId="18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3" fontId="2" fillId="38" borderId="16" xfId="0" applyNumberFormat="1" applyFont="1" applyFill="1" applyBorder="1" applyAlignment="1">
      <alignment/>
    </xf>
    <xf numFmtId="3" fontId="2" fillId="39" borderId="16" xfId="0" applyNumberFormat="1" applyFont="1" applyFill="1" applyBorder="1" applyAlignment="1">
      <alignment/>
    </xf>
    <xf numFmtId="3" fontId="2" fillId="40" borderId="16" xfId="0" applyNumberFormat="1" applyFont="1" applyFill="1" applyBorder="1" applyAlignment="1">
      <alignment/>
    </xf>
    <xf numFmtId="3" fontId="2" fillId="41" borderId="16" xfId="0" applyNumberFormat="1" applyFont="1" applyFill="1" applyBorder="1" applyAlignment="1">
      <alignment/>
    </xf>
    <xf numFmtId="3" fontId="2" fillId="34" borderId="17" xfId="0" applyNumberFormat="1" applyFont="1" applyFill="1" applyBorder="1" applyAlignment="1">
      <alignment/>
    </xf>
    <xf numFmtId="0" fontId="2" fillId="0" borderId="20" xfId="0" applyFont="1" applyFill="1" applyBorder="1" applyAlignment="1">
      <alignment vertical="top" wrapText="1"/>
    </xf>
    <xf numFmtId="0" fontId="3" fillId="0" borderId="22" xfId="0" applyFont="1" applyFill="1" applyBorder="1" applyAlignment="1">
      <alignment vertical="top" wrapText="1"/>
    </xf>
    <xf numFmtId="0" fontId="2" fillId="0" borderId="20" xfId="0" applyFont="1" applyFill="1" applyBorder="1" applyAlignment="1">
      <alignment wrapText="1"/>
    </xf>
    <xf numFmtId="172" fontId="3" fillId="34" borderId="18" xfId="0" applyNumberFormat="1" applyFont="1" applyFill="1" applyBorder="1" applyAlignment="1">
      <alignment wrapText="1"/>
    </xf>
    <xf numFmtId="172" fontId="3" fillId="34" borderId="16" xfId="0" applyNumberFormat="1" applyFont="1" applyFill="1" applyBorder="1" applyAlignment="1">
      <alignment wrapText="1"/>
    </xf>
    <xf numFmtId="172" fontId="3" fillId="34" borderId="17" xfId="0" applyNumberFormat="1" applyFont="1" applyFill="1" applyBorder="1" applyAlignment="1">
      <alignment wrapText="1"/>
    </xf>
    <xf numFmtId="0" fontId="4" fillId="0" borderId="19" xfId="0" applyFont="1" applyFill="1" applyBorder="1" applyAlignment="1">
      <alignment wrapText="1"/>
    </xf>
    <xf numFmtId="10" fontId="4" fillId="0" borderId="18" xfId="0" applyNumberFormat="1" applyFont="1" applyFill="1" applyBorder="1" applyAlignment="1">
      <alignment wrapTex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10" fillId="0" borderId="23" xfId="0" applyFont="1" applyFill="1" applyBorder="1" applyAlignment="1">
      <alignment wrapText="1"/>
    </xf>
    <xf numFmtId="3" fontId="10" fillId="34" borderId="24" xfId="0" applyNumberFormat="1" applyFont="1" applyFill="1" applyBorder="1" applyAlignment="1">
      <alignment wrapText="1"/>
    </xf>
    <xf numFmtId="3" fontId="10" fillId="34" borderId="25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3" fontId="4" fillId="0" borderId="0" xfId="0" applyNumberFormat="1" applyFont="1" applyFill="1" applyBorder="1" applyAlignment="1">
      <alignment wrapText="1"/>
    </xf>
    <xf numFmtId="0" fontId="4" fillId="0" borderId="16" xfId="0" applyFont="1" applyFill="1" applyBorder="1" applyAlignment="1">
      <alignment wrapText="1"/>
    </xf>
    <xf numFmtId="3" fontId="3" fillId="0" borderId="16" xfId="0" applyNumberFormat="1" applyFont="1" applyFill="1" applyBorder="1" applyAlignment="1">
      <alignment horizontal="center" wrapText="1"/>
    </xf>
    <xf numFmtId="9" fontId="3" fillId="0" borderId="16" xfId="0" applyNumberFormat="1" applyFont="1" applyFill="1" applyBorder="1" applyAlignment="1">
      <alignment wrapText="1"/>
    </xf>
    <xf numFmtId="4" fontId="3" fillId="0" borderId="16" xfId="0" applyNumberFormat="1" applyFont="1" applyFill="1" applyBorder="1" applyAlignment="1">
      <alignment wrapText="1"/>
    </xf>
    <xf numFmtId="0" fontId="2" fillId="0" borderId="0" xfId="0" applyFont="1" applyAlignment="1">
      <alignment/>
    </xf>
    <xf numFmtId="3" fontId="4" fillId="0" borderId="18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0" fontId="2" fillId="33" borderId="10" xfId="0" applyNumberFormat="1" applyFont="1" applyFill="1" applyBorder="1" applyAlignment="1">
      <alignment horizontal="left" wrapText="1"/>
    </xf>
    <xf numFmtId="0" fontId="5" fillId="0" borderId="20" xfId="0" applyFont="1" applyFill="1" applyBorder="1" applyAlignment="1">
      <alignment wrapText="1"/>
    </xf>
    <xf numFmtId="0" fontId="4" fillId="0" borderId="20" xfId="0" applyFont="1" applyFill="1" applyBorder="1" applyAlignment="1">
      <alignment wrapText="1"/>
    </xf>
    <xf numFmtId="0" fontId="4" fillId="0" borderId="0" xfId="0" applyFont="1" applyAlignment="1">
      <alignment/>
    </xf>
    <xf numFmtId="0" fontId="2" fillId="36" borderId="20" xfId="0" applyFont="1" applyFill="1" applyBorder="1" applyAlignment="1">
      <alignment wrapText="1"/>
    </xf>
    <xf numFmtId="0" fontId="11" fillId="0" borderId="26" xfId="0" applyFont="1" applyFill="1" applyBorder="1" applyAlignment="1">
      <alignment/>
    </xf>
    <xf numFmtId="0" fontId="12" fillId="33" borderId="27" xfId="0" applyFont="1" applyFill="1" applyBorder="1" applyAlignment="1">
      <alignment horizontal="center" wrapText="1"/>
    </xf>
    <xf numFmtId="0" fontId="12" fillId="33" borderId="10" xfId="0" applyNumberFormat="1" applyFont="1" applyFill="1" applyBorder="1" applyAlignment="1">
      <alignment horizontal="center" wrapText="1"/>
    </xf>
    <xf numFmtId="0" fontId="12" fillId="33" borderId="11" xfId="0" applyNumberFormat="1" applyFont="1" applyFill="1" applyBorder="1" applyAlignment="1">
      <alignment horizontal="center" wrapText="1"/>
    </xf>
    <xf numFmtId="0" fontId="12" fillId="33" borderId="28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2" fillId="0" borderId="29" xfId="0" applyFont="1" applyBorder="1" applyAlignment="1">
      <alignment horizontal="left" vertical="center"/>
    </xf>
    <xf numFmtId="3" fontId="12" fillId="42" borderId="30" xfId="0" applyNumberFormat="1" applyFont="1" applyFill="1" applyBorder="1" applyAlignment="1">
      <alignment horizontal="right" wrapText="1"/>
    </xf>
    <xf numFmtId="3" fontId="12" fillId="42" borderId="13" xfId="0" applyNumberFormat="1" applyFont="1" applyFill="1" applyBorder="1" applyAlignment="1">
      <alignment horizontal="right" wrapText="1"/>
    </xf>
    <xf numFmtId="3" fontId="12" fillId="42" borderId="14" xfId="0" applyNumberFormat="1" applyFont="1" applyFill="1" applyBorder="1" applyAlignment="1">
      <alignment horizontal="right" wrapText="1"/>
    </xf>
    <xf numFmtId="0" fontId="13" fillId="0" borderId="31" xfId="0" applyFont="1" applyFill="1" applyBorder="1" applyAlignment="1">
      <alignment horizontal="left" vertical="center"/>
    </xf>
    <xf numFmtId="3" fontId="13" fillId="42" borderId="20" xfId="0" applyNumberFormat="1" applyFont="1" applyFill="1" applyBorder="1" applyAlignment="1">
      <alignment wrapText="1"/>
    </xf>
    <xf numFmtId="3" fontId="13" fillId="42" borderId="16" xfId="0" applyNumberFormat="1" applyFont="1" applyFill="1" applyBorder="1" applyAlignment="1">
      <alignment wrapText="1"/>
    </xf>
    <xf numFmtId="3" fontId="13" fillId="42" borderId="17" xfId="0" applyNumberFormat="1" applyFont="1" applyFill="1" applyBorder="1" applyAlignment="1">
      <alignment wrapText="1"/>
    </xf>
    <xf numFmtId="3" fontId="13" fillId="43" borderId="32" xfId="0" applyNumberFormat="1" applyFont="1" applyFill="1" applyBorder="1" applyAlignment="1">
      <alignment wrapText="1"/>
    </xf>
    <xf numFmtId="3" fontId="13" fillId="43" borderId="18" xfId="0" applyNumberFormat="1" applyFont="1" applyFill="1" applyBorder="1" applyAlignment="1">
      <alignment wrapText="1"/>
    </xf>
    <xf numFmtId="3" fontId="13" fillId="0" borderId="16" xfId="0" applyNumberFormat="1" applyFont="1" applyFill="1" applyBorder="1" applyAlignment="1">
      <alignment/>
    </xf>
    <xf numFmtId="3" fontId="13" fillId="0" borderId="17" xfId="0" applyNumberFormat="1" applyFont="1" applyFill="1" applyBorder="1" applyAlignment="1">
      <alignment/>
    </xf>
    <xf numFmtId="3" fontId="13" fillId="42" borderId="32" xfId="0" applyNumberFormat="1" applyFont="1" applyFill="1" applyBorder="1" applyAlignment="1">
      <alignment wrapText="1"/>
    </xf>
    <xf numFmtId="3" fontId="13" fillId="42" borderId="18" xfId="0" applyNumberFormat="1" applyFont="1" applyFill="1" applyBorder="1" applyAlignment="1">
      <alignment wrapText="1"/>
    </xf>
    <xf numFmtId="0" fontId="12" fillId="0" borderId="31" xfId="0" applyFont="1" applyFill="1" applyBorder="1" applyAlignment="1">
      <alignment horizontal="left" vertical="center"/>
    </xf>
    <xf numFmtId="3" fontId="12" fillId="42" borderId="32" xfId="0" applyNumberFormat="1" applyFont="1" applyFill="1" applyBorder="1" applyAlignment="1">
      <alignment wrapText="1"/>
    </xf>
    <xf numFmtId="3" fontId="12" fillId="42" borderId="18" xfId="0" applyNumberFormat="1" applyFont="1" applyFill="1" applyBorder="1" applyAlignment="1">
      <alignment wrapText="1"/>
    </xf>
    <xf numFmtId="3" fontId="12" fillId="42" borderId="16" xfId="0" applyNumberFormat="1" applyFont="1" applyFill="1" applyBorder="1" applyAlignment="1">
      <alignment wrapText="1"/>
    </xf>
    <xf numFmtId="3" fontId="12" fillId="42" borderId="17" xfId="0" applyNumberFormat="1" applyFont="1" applyFill="1" applyBorder="1" applyAlignment="1">
      <alignment wrapText="1"/>
    </xf>
    <xf numFmtId="3" fontId="13" fillId="0" borderId="18" xfId="0" applyNumberFormat="1" applyFont="1" applyFill="1" applyBorder="1" applyAlignment="1">
      <alignment wrapText="1"/>
    </xf>
    <xf numFmtId="3" fontId="13" fillId="0" borderId="17" xfId="0" applyNumberFormat="1" applyFont="1" applyFill="1" applyBorder="1" applyAlignment="1">
      <alignment wrapText="1"/>
    </xf>
    <xf numFmtId="0" fontId="55" fillId="0" borderId="0" xfId="0" applyFont="1" applyAlignment="1">
      <alignment/>
    </xf>
    <xf numFmtId="9" fontId="55" fillId="0" borderId="0" xfId="0" applyNumberFormat="1" applyFont="1" applyAlignment="1">
      <alignment/>
    </xf>
    <xf numFmtId="172" fontId="55" fillId="0" borderId="0" xfId="0" applyNumberFormat="1" applyFont="1" applyAlignment="1">
      <alignment/>
    </xf>
    <xf numFmtId="0" fontId="14" fillId="0" borderId="31" xfId="0" applyFont="1" applyFill="1" applyBorder="1" applyAlignment="1">
      <alignment horizontal="left" vertical="center"/>
    </xf>
    <xf numFmtId="3" fontId="13" fillId="0" borderId="32" xfId="0" applyNumberFormat="1" applyFont="1" applyFill="1" applyBorder="1" applyAlignment="1">
      <alignment wrapText="1"/>
    </xf>
    <xf numFmtId="0" fontId="12" fillId="0" borderId="32" xfId="0" applyFont="1" applyFill="1" applyBorder="1" applyAlignment="1">
      <alignment horizontal="left" wrapText="1"/>
    </xf>
    <xf numFmtId="0" fontId="13" fillId="0" borderId="32" xfId="0" applyFont="1" applyFill="1" applyBorder="1" applyAlignment="1">
      <alignment horizontal="left" wrapText="1"/>
    </xf>
    <xf numFmtId="3" fontId="13" fillId="43" borderId="16" xfId="0" applyNumberFormat="1" applyFont="1" applyFill="1" applyBorder="1" applyAlignment="1">
      <alignment/>
    </xf>
    <xf numFmtId="3" fontId="13" fillId="43" borderId="17" xfId="0" applyNumberFormat="1" applyFont="1" applyFill="1" applyBorder="1" applyAlignment="1">
      <alignment/>
    </xf>
    <xf numFmtId="49" fontId="14" fillId="0" borderId="32" xfId="0" applyNumberFormat="1" applyFont="1" applyFill="1" applyBorder="1" applyAlignment="1">
      <alignment horizontal="left" wrapText="1"/>
    </xf>
    <xf numFmtId="3" fontId="13" fillId="43" borderId="20" xfId="0" applyNumberFormat="1" applyFont="1" applyFill="1" applyBorder="1" applyAlignment="1">
      <alignment/>
    </xf>
    <xf numFmtId="0" fontId="16" fillId="0" borderId="32" xfId="0" applyFont="1" applyFill="1" applyBorder="1" applyAlignment="1">
      <alignment horizontal="left" wrapText="1"/>
    </xf>
    <xf numFmtId="0" fontId="13" fillId="0" borderId="32" xfId="45" applyFont="1" applyFill="1" applyBorder="1">
      <alignment/>
      <protection/>
    </xf>
    <xf numFmtId="0" fontId="13" fillId="0" borderId="19" xfId="0" applyFont="1" applyFill="1" applyBorder="1" applyAlignment="1">
      <alignment horizontal="left"/>
    </xf>
    <xf numFmtId="3" fontId="13" fillId="43" borderId="33" xfId="0" applyNumberFormat="1" applyFont="1" applyFill="1" applyBorder="1" applyAlignment="1">
      <alignment wrapText="1"/>
    </xf>
    <xf numFmtId="3" fontId="13" fillId="43" borderId="34" xfId="0" applyNumberFormat="1" applyFont="1" applyFill="1" applyBorder="1" applyAlignment="1">
      <alignment wrapText="1"/>
    </xf>
    <xf numFmtId="0" fontId="13" fillId="0" borderId="32" xfId="45" applyFont="1" applyFill="1" applyBorder="1" applyAlignment="1">
      <alignment/>
      <protection/>
    </xf>
    <xf numFmtId="3" fontId="13" fillId="0" borderId="16" xfId="45" applyNumberFormat="1" applyFont="1" applyFill="1" applyBorder="1">
      <alignment/>
      <protection/>
    </xf>
    <xf numFmtId="0" fontId="13" fillId="0" borderId="35" xfId="0" applyFont="1" applyFill="1" applyBorder="1" applyAlignment="1">
      <alignment horizontal="left" wrapText="1"/>
    </xf>
    <xf numFmtId="3" fontId="13" fillId="43" borderId="35" xfId="0" applyNumberFormat="1" applyFont="1" applyFill="1" applyBorder="1" applyAlignment="1">
      <alignment wrapText="1"/>
    </xf>
    <xf numFmtId="3" fontId="13" fillId="43" borderId="36" xfId="0" applyNumberFormat="1" applyFont="1" applyFill="1" applyBorder="1" applyAlignment="1">
      <alignment wrapText="1"/>
    </xf>
    <xf numFmtId="0" fontId="13" fillId="0" borderId="32" xfId="0" applyFont="1" applyFill="1" applyBorder="1" applyAlignment="1">
      <alignment/>
    </xf>
    <xf numFmtId="0" fontId="12" fillId="0" borderId="32" xfId="0" applyFont="1" applyFill="1" applyBorder="1" applyAlignment="1">
      <alignment wrapText="1"/>
    </xf>
    <xf numFmtId="3" fontId="13" fillId="42" borderId="16" xfId="0" applyNumberFormat="1" applyFont="1" applyFill="1" applyBorder="1" applyAlignment="1">
      <alignment/>
    </xf>
    <xf numFmtId="3" fontId="13" fillId="42" borderId="17" xfId="0" applyNumberFormat="1" applyFont="1" applyFill="1" applyBorder="1" applyAlignment="1">
      <alignment/>
    </xf>
    <xf numFmtId="0" fontId="13" fillId="0" borderId="19" xfId="0" applyFont="1" applyBorder="1" applyAlignment="1">
      <alignment/>
    </xf>
    <xf numFmtId="0" fontId="13" fillId="43" borderId="32" xfId="0" applyFont="1" applyFill="1" applyBorder="1" applyAlignment="1">
      <alignment/>
    </xf>
    <xf numFmtId="0" fontId="13" fillId="43" borderId="18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12" fillId="0" borderId="32" xfId="0" applyFont="1" applyFill="1" applyBorder="1" applyAlignment="1">
      <alignment/>
    </xf>
    <xf numFmtId="3" fontId="12" fillId="42" borderId="37" xfId="0" applyNumberFormat="1" applyFont="1" applyFill="1" applyBorder="1" applyAlignment="1">
      <alignment wrapText="1"/>
    </xf>
    <xf numFmtId="3" fontId="12" fillId="42" borderId="24" xfId="0" applyNumberFormat="1" applyFont="1" applyFill="1" applyBorder="1" applyAlignment="1">
      <alignment/>
    </xf>
    <xf numFmtId="3" fontId="12" fillId="42" borderId="38" xfId="44" applyNumberFormat="1" applyFont="1" applyFill="1" applyBorder="1">
      <alignment/>
      <protection/>
    </xf>
    <xf numFmtId="3" fontId="12" fillId="42" borderId="39" xfId="44" applyNumberFormat="1" applyFont="1" applyFill="1" applyBorder="1">
      <alignment/>
      <protection/>
    </xf>
    <xf numFmtId="0" fontId="12" fillId="0" borderId="32" xfId="0" applyFont="1" applyFill="1" applyBorder="1" applyAlignment="1">
      <alignment vertical="top" wrapText="1"/>
    </xf>
    <xf numFmtId="3" fontId="13" fillId="43" borderId="40" xfId="0" applyNumberFormat="1" applyFont="1" applyFill="1" applyBorder="1" applyAlignment="1">
      <alignment horizontal="right" vertical="center"/>
    </xf>
    <xf numFmtId="3" fontId="13" fillId="0" borderId="41" xfId="0" applyNumberFormat="1" applyFont="1" applyFill="1" applyBorder="1" applyAlignment="1">
      <alignment/>
    </xf>
    <xf numFmtId="0" fontId="13" fillId="0" borderId="33" xfId="0" applyFont="1" applyFill="1" applyBorder="1" applyAlignment="1">
      <alignment vertical="top" wrapText="1"/>
    </xf>
    <xf numFmtId="3" fontId="13" fillId="0" borderId="42" xfId="0" applyNumberFormat="1" applyFont="1" applyFill="1" applyBorder="1" applyAlignment="1">
      <alignment horizontal="right" vertical="center"/>
    </xf>
    <xf numFmtId="3" fontId="13" fillId="0" borderId="43" xfId="0" applyNumberFormat="1" applyFont="1" applyFill="1" applyBorder="1" applyAlignment="1">
      <alignment horizontal="right" vertical="center"/>
    </xf>
    <xf numFmtId="3" fontId="13" fillId="0" borderId="44" xfId="0" applyNumberFormat="1" applyFont="1" applyFill="1" applyBorder="1" applyAlignment="1">
      <alignment/>
    </xf>
    <xf numFmtId="172" fontId="13" fillId="42" borderId="32" xfId="0" applyNumberFormat="1" applyFont="1" applyFill="1" applyBorder="1" applyAlignment="1">
      <alignment wrapText="1"/>
    </xf>
    <xf numFmtId="172" fontId="13" fillId="42" borderId="16" xfId="0" applyNumberFormat="1" applyFont="1" applyFill="1" applyBorder="1" applyAlignment="1">
      <alignment wrapText="1"/>
    </xf>
    <xf numFmtId="172" fontId="13" fillId="42" borderId="17" xfId="0" applyNumberFormat="1" applyFont="1" applyFill="1" applyBorder="1" applyAlignment="1">
      <alignment wrapText="1"/>
    </xf>
    <xf numFmtId="0" fontId="12" fillId="0" borderId="37" xfId="0" applyFont="1" applyFill="1" applyBorder="1" applyAlignment="1">
      <alignment wrapText="1"/>
    </xf>
    <xf numFmtId="3" fontId="13" fillId="42" borderId="37" xfId="0" applyNumberFormat="1" applyFont="1" applyFill="1" applyBorder="1" applyAlignment="1">
      <alignment wrapText="1"/>
    </xf>
    <xf numFmtId="3" fontId="13" fillId="42" borderId="24" xfId="0" applyNumberFormat="1" applyFont="1" applyFill="1" applyBorder="1" applyAlignment="1">
      <alignment wrapText="1"/>
    </xf>
    <xf numFmtId="3" fontId="13" fillId="42" borderId="25" xfId="0" applyNumberFormat="1" applyFont="1" applyFill="1" applyBorder="1" applyAlignment="1">
      <alignment wrapText="1"/>
    </xf>
    <xf numFmtId="0" fontId="13" fillId="0" borderId="19" xfId="0" applyFont="1" applyFill="1" applyBorder="1" applyAlignment="1">
      <alignment wrapText="1"/>
    </xf>
    <xf numFmtId="10" fontId="13" fillId="0" borderId="36" xfId="0" applyNumberFormat="1" applyFont="1" applyFill="1" applyBorder="1" applyAlignment="1">
      <alignment wrapText="1"/>
    </xf>
    <xf numFmtId="0" fontId="13" fillId="0" borderId="41" xfId="0" applyFont="1" applyFill="1" applyBorder="1" applyAlignment="1">
      <alignment/>
    </xf>
    <xf numFmtId="0" fontId="13" fillId="0" borderId="45" xfId="0" applyFont="1" applyFill="1" applyBorder="1" applyAlignment="1">
      <alignment/>
    </xf>
    <xf numFmtId="0" fontId="18" fillId="0" borderId="23" xfId="0" applyFont="1" applyFill="1" applyBorder="1" applyAlignment="1">
      <alignment wrapText="1"/>
    </xf>
    <xf numFmtId="3" fontId="18" fillId="34" borderId="24" xfId="0" applyNumberFormat="1" applyFont="1" applyFill="1" applyBorder="1" applyAlignment="1">
      <alignment wrapText="1"/>
    </xf>
    <xf numFmtId="3" fontId="18" fillId="34" borderId="25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 wrapText="1"/>
    </xf>
    <xf numFmtId="3" fontId="13" fillId="0" borderId="0" xfId="0" applyNumberFormat="1" applyFont="1" applyFill="1" applyBorder="1" applyAlignment="1">
      <alignment wrapText="1"/>
    </xf>
    <xf numFmtId="0" fontId="13" fillId="0" borderId="16" xfId="0" applyFont="1" applyFill="1" applyBorder="1" applyAlignment="1">
      <alignment wrapText="1"/>
    </xf>
    <xf numFmtId="3" fontId="13" fillId="0" borderId="16" xfId="0" applyNumberFormat="1" applyFont="1" applyFill="1" applyBorder="1" applyAlignment="1">
      <alignment horizontal="center" wrapText="1"/>
    </xf>
    <xf numFmtId="9" fontId="13" fillId="0" borderId="16" xfId="0" applyNumberFormat="1" applyFont="1" applyFill="1" applyBorder="1" applyAlignment="1">
      <alignment wrapText="1"/>
    </xf>
    <xf numFmtId="4" fontId="13" fillId="0" borderId="16" xfId="0" applyNumberFormat="1" applyFont="1" applyFill="1" applyBorder="1" applyAlignment="1">
      <alignment wrapText="1"/>
    </xf>
    <xf numFmtId="0" fontId="12" fillId="33" borderId="46" xfId="0" applyNumberFormat="1" applyFont="1" applyFill="1" applyBorder="1" applyAlignment="1">
      <alignment horizontal="left" wrapText="1"/>
    </xf>
    <xf numFmtId="0" fontId="12" fillId="0" borderId="47" xfId="0" applyFont="1" applyFill="1" applyBorder="1" applyAlignment="1">
      <alignment wrapText="1"/>
    </xf>
    <xf numFmtId="3" fontId="12" fillId="42" borderId="20" xfId="0" applyNumberFormat="1" applyFont="1" applyFill="1" applyBorder="1" applyAlignment="1">
      <alignment/>
    </xf>
    <xf numFmtId="3" fontId="12" fillId="42" borderId="16" xfId="0" applyNumberFormat="1" applyFont="1" applyFill="1" applyBorder="1" applyAlignment="1">
      <alignment/>
    </xf>
    <xf numFmtId="3" fontId="12" fillId="42" borderId="17" xfId="0" applyNumberFormat="1" applyFont="1" applyFill="1" applyBorder="1" applyAlignment="1">
      <alignment/>
    </xf>
    <xf numFmtId="0" fontId="14" fillId="0" borderId="47" xfId="0" applyFont="1" applyFill="1" applyBorder="1" applyAlignment="1">
      <alignment wrapText="1"/>
    </xf>
    <xf numFmtId="3" fontId="13" fillId="0" borderId="20" xfId="0" applyNumberFormat="1" applyFont="1" applyFill="1" applyBorder="1" applyAlignment="1">
      <alignment/>
    </xf>
    <xf numFmtId="3" fontId="13" fillId="0" borderId="16" xfId="0" applyNumberFormat="1" applyFont="1" applyBorder="1" applyAlignment="1">
      <alignment/>
    </xf>
    <xf numFmtId="3" fontId="13" fillId="0" borderId="17" xfId="0" applyNumberFormat="1" applyFont="1" applyBorder="1" applyAlignment="1">
      <alignment/>
    </xf>
    <xf numFmtId="0" fontId="12" fillId="0" borderId="47" xfId="0" applyFont="1" applyFill="1" applyBorder="1" applyAlignment="1">
      <alignment horizontal="left"/>
    </xf>
    <xf numFmtId="0" fontId="13" fillId="0" borderId="47" xfId="0" applyFont="1" applyFill="1" applyBorder="1" applyAlignment="1">
      <alignment wrapText="1"/>
    </xf>
    <xf numFmtId="3" fontId="13" fillId="42" borderId="20" xfId="0" applyNumberFormat="1" applyFont="1" applyFill="1" applyBorder="1" applyAlignment="1">
      <alignment/>
    </xf>
    <xf numFmtId="0" fontId="14" fillId="0" borderId="48" xfId="0" applyFont="1" applyFill="1" applyBorder="1" applyAlignment="1">
      <alignment wrapText="1"/>
    </xf>
    <xf numFmtId="3" fontId="13" fillId="42" borderId="23" xfId="0" applyNumberFormat="1" applyFont="1" applyFill="1" applyBorder="1" applyAlignment="1">
      <alignment/>
    </xf>
    <xf numFmtId="3" fontId="13" fillId="42" borderId="24" xfId="0" applyNumberFormat="1" applyFont="1" applyFill="1" applyBorder="1" applyAlignment="1">
      <alignment/>
    </xf>
    <xf numFmtId="3" fontId="13" fillId="42" borderId="25" xfId="0" applyNumberFormat="1" applyFont="1" applyFill="1" applyBorder="1" applyAlignment="1">
      <alignment/>
    </xf>
    <xf numFmtId="0" fontId="15" fillId="0" borderId="26" xfId="0" applyFont="1" applyFill="1" applyBorder="1" applyAlignment="1">
      <alignment/>
    </xf>
    <xf numFmtId="3" fontId="13" fillId="0" borderId="0" xfId="0" applyNumberFormat="1" applyFont="1" applyAlignment="1">
      <alignment/>
    </xf>
    <xf numFmtId="3" fontId="13" fillId="0" borderId="0" xfId="0" applyNumberFormat="1" applyFont="1" applyFill="1" applyBorder="1" applyAlignment="1">
      <alignment/>
    </xf>
    <xf numFmtId="0" fontId="2" fillId="44" borderId="49" xfId="0" applyFont="1" applyFill="1" applyBorder="1" applyAlignment="1">
      <alignment horizontal="center" wrapText="1"/>
    </xf>
    <xf numFmtId="0" fontId="2" fillId="44" borderId="49" xfId="0" applyNumberFormat="1" applyFont="1" applyFill="1" applyBorder="1" applyAlignment="1">
      <alignment horizontal="center" wrapText="1"/>
    </xf>
    <xf numFmtId="0" fontId="19" fillId="45" borderId="0" xfId="0" applyFont="1" applyFill="1" applyAlignment="1">
      <alignment wrapText="1"/>
    </xf>
    <xf numFmtId="0" fontId="2" fillId="46" borderId="0" xfId="0" applyNumberFormat="1" applyFont="1" applyFill="1" applyBorder="1" applyAlignment="1">
      <alignment horizontal="center" wrapText="1"/>
    </xf>
    <xf numFmtId="0" fontId="2" fillId="0" borderId="49" xfId="0" applyFont="1" applyBorder="1" applyAlignment="1">
      <alignment horizontal="left" vertical="center"/>
    </xf>
    <xf numFmtId="3" fontId="2" fillId="47" borderId="49" xfId="0" applyNumberFormat="1" applyFont="1" applyFill="1" applyBorder="1" applyAlignment="1">
      <alignment horizontal="right" wrapText="1"/>
    </xf>
    <xf numFmtId="0" fontId="20" fillId="45" borderId="0" xfId="0" applyFont="1" applyFill="1" applyAlignment="1">
      <alignment/>
    </xf>
    <xf numFmtId="0" fontId="3" fillId="0" borderId="49" xfId="0" applyFont="1" applyFill="1" applyBorder="1" applyAlignment="1">
      <alignment horizontal="left" vertical="center"/>
    </xf>
    <xf numFmtId="3" fontId="0" fillId="47" borderId="49" xfId="0" applyNumberFormat="1" applyFont="1" applyFill="1" applyBorder="1" applyAlignment="1">
      <alignment wrapText="1"/>
    </xf>
    <xf numFmtId="3" fontId="0" fillId="48" borderId="50" xfId="0" applyNumberFormat="1" applyFont="1" applyFill="1" applyBorder="1" applyAlignment="1">
      <alignment wrapText="1"/>
    </xf>
    <xf numFmtId="3" fontId="0" fillId="0" borderId="49" xfId="0" applyNumberFormat="1" applyFont="1" applyFill="1" applyBorder="1" applyAlignment="1">
      <alignment/>
    </xf>
    <xf numFmtId="3" fontId="0" fillId="47" borderId="50" xfId="0" applyNumberFormat="1" applyFont="1" applyFill="1" applyBorder="1" applyAlignment="1">
      <alignment wrapText="1"/>
    </xf>
    <xf numFmtId="3" fontId="21" fillId="0" borderId="49" xfId="0" applyNumberFormat="1" applyFont="1" applyFill="1" applyBorder="1" applyAlignment="1">
      <alignment/>
    </xf>
    <xf numFmtId="0" fontId="2" fillId="0" borderId="49" xfId="0" applyFont="1" applyFill="1" applyBorder="1" applyAlignment="1">
      <alignment horizontal="left" vertical="center"/>
    </xf>
    <xf numFmtId="3" fontId="2" fillId="47" borderId="50" xfId="0" applyNumberFormat="1" applyFont="1" applyFill="1" applyBorder="1" applyAlignment="1">
      <alignment wrapText="1"/>
    </xf>
    <xf numFmtId="3" fontId="2" fillId="47" borderId="49" xfId="0" applyNumberFormat="1" applyFont="1" applyFill="1" applyBorder="1" applyAlignment="1">
      <alignment wrapText="1"/>
    </xf>
    <xf numFmtId="3" fontId="0" fillId="0" borderId="50" xfId="0" applyNumberFormat="1" applyFont="1" applyFill="1" applyBorder="1" applyAlignment="1">
      <alignment wrapText="1"/>
    </xf>
    <xf numFmtId="3" fontId="0" fillId="0" borderId="49" xfId="0" applyNumberFormat="1" applyFont="1" applyFill="1" applyBorder="1" applyAlignment="1">
      <alignment wrapText="1"/>
    </xf>
    <xf numFmtId="0" fontId="5" fillId="49" borderId="49" xfId="0" applyFont="1" applyFill="1" applyBorder="1" applyAlignment="1">
      <alignment horizontal="left" vertical="center"/>
    </xf>
    <xf numFmtId="3" fontId="0" fillId="49" borderId="50" xfId="0" applyNumberFormat="1" applyFont="1" applyFill="1" applyBorder="1" applyAlignment="1">
      <alignment wrapText="1"/>
    </xf>
    <xf numFmtId="3" fontId="0" fillId="49" borderId="49" xfId="0" applyNumberFormat="1" applyFont="1" applyFill="1" applyBorder="1" applyAlignment="1">
      <alignment/>
    </xf>
    <xf numFmtId="0" fontId="2" fillId="0" borderId="49" xfId="0" applyFont="1" applyFill="1" applyBorder="1" applyAlignment="1">
      <alignment horizontal="left" wrapText="1"/>
    </xf>
    <xf numFmtId="0" fontId="3" fillId="0" borderId="49" xfId="0" applyFont="1" applyFill="1" applyBorder="1" applyAlignment="1">
      <alignment horizontal="left" wrapText="1"/>
    </xf>
    <xf numFmtId="3" fontId="0" fillId="50" borderId="49" xfId="0" applyNumberFormat="1" applyFont="1" applyFill="1" applyBorder="1" applyAlignment="1">
      <alignment/>
    </xf>
    <xf numFmtId="49" fontId="5" fillId="0" borderId="49" xfId="0" applyNumberFormat="1" applyFont="1" applyFill="1" applyBorder="1" applyAlignment="1">
      <alignment horizontal="left" wrapText="1"/>
    </xf>
    <xf numFmtId="0" fontId="7" fillId="0" borderId="49" xfId="0" applyFont="1" applyFill="1" applyBorder="1" applyAlignment="1">
      <alignment horizontal="left" wrapText="1"/>
    </xf>
    <xf numFmtId="3" fontId="0" fillId="48" borderId="49" xfId="0" applyNumberFormat="1" applyFont="1" applyFill="1" applyBorder="1" applyAlignment="1">
      <alignment/>
    </xf>
    <xf numFmtId="0" fontId="3" fillId="0" borderId="49" xfId="45" applyFont="1" applyFill="1" applyBorder="1">
      <alignment/>
      <protection/>
    </xf>
    <xf numFmtId="0" fontId="3" fillId="0" borderId="51" xfId="0" applyFont="1" applyFill="1" applyBorder="1" applyAlignment="1">
      <alignment horizontal="left"/>
    </xf>
    <xf numFmtId="3" fontId="0" fillId="48" borderId="43" xfId="0" applyNumberFormat="1" applyFont="1" applyFill="1" applyBorder="1" applyAlignment="1">
      <alignment wrapText="1"/>
    </xf>
    <xf numFmtId="0" fontId="3" fillId="0" borderId="49" xfId="45" applyFont="1" applyFill="1" applyBorder="1" applyAlignment="1">
      <alignment/>
      <protection/>
    </xf>
    <xf numFmtId="3" fontId="8" fillId="0" borderId="49" xfId="45" applyNumberFormat="1" applyFont="1" applyFill="1" applyBorder="1">
      <alignment/>
      <protection/>
    </xf>
    <xf numFmtId="0" fontId="3" fillId="0" borderId="52" xfId="0" applyFont="1" applyFill="1" applyBorder="1" applyAlignment="1">
      <alignment horizontal="left" wrapText="1"/>
    </xf>
    <xf numFmtId="3" fontId="0" fillId="48" borderId="53" xfId="0" applyNumberFormat="1" applyFont="1" applyFill="1" applyBorder="1" applyAlignment="1">
      <alignment wrapText="1"/>
    </xf>
    <xf numFmtId="0" fontId="3" fillId="0" borderId="49" xfId="0" applyFont="1" applyFill="1" applyBorder="1" applyAlignment="1">
      <alignment/>
    </xf>
    <xf numFmtId="0" fontId="2" fillId="0" borderId="49" xfId="0" applyFont="1" applyFill="1" applyBorder="1" applyAlignment="1">
      <alignment wrapText="1"/>
    </xf>
    <xf numFmtId="3" fontId="0" fillId="51" borderId="50" xfId="0" applyNumberFormat="1" applyFont="1" applyFill="1" applyBorder="1" applyAlignment="1">
      <alignment wrapText="1"/>
    </xf>
    <xf numFmtId="3" fontId="0" fillId="52" borderId="49" xfId="0" applyNumberFormat="1" applyFont="1" applyFill="1" applyBorder="1" applyAlignment="1">
      <alignment/>
    </xf>
    <xf numFmtId="3" fontId="0" fillId="53" borderId="49" xfId="0" applyNumberFormat="1" applyFont="1" applyFill="1" applyBorder="1" applyAlignment="1">
      <alignment/>
    </xf>
    <xf numFmtId="3" fontId="0" fillId="45" borderId="49" xfId="0" applyNumberFormat="1" applyFont="1" applyFill="1" applyBorder="1" applyAlignment="1">
      <alignment/>
    </xf>
    <xf numFmtId="3" fontId="0" fillId="54" borderId="49" xfId="0" applyNumberFormat="1" applyFont="1" applyFill="1" applyBorder="1" applyAlignment="1">
      <alignment/>
    </xf>
    <xf numFmtId="0" fontId="0" fillId="0" borderId="51" xfId="0" applyBorder="1" applyAlignment="1">
      <alignment/>
    </xf>
    <xf numFmtId="0" fontId="0" fillId="48" borderId="50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2" fillId="0" borderId="49" xfId="0" applyFont="1" applyFill="1" applyBorder="1" applyAlignment="1">
      <alignment/>
    </xf>
    <xf numFmtId="3" fontId="2" fillId="51" borderId="50" xfId="0" applyNumberFormat="1" applyFont="1" applyFill="1" applyBorder="1" applyAlignment="1">
      <alignment wrapText="1"/>
    </xf>
    <xf numFmtId="3" fontId="2" fillId="52" borderId="49" xfId="0" applyNumberFormat="1" applyFont="1" applyFill="1" applyBorder="1" applyAlignment="1">
      <alignment/>
    </xf>
    <xf numFmtId="3" fontId="2" fillId="53" borderId="49" xfId="0" applyNumberFormat="1" applyFont="1" applyFill="1" applyBorder="1" applyAlignment="1">
      <alignment/>
    </xf>
    <xf numFmtId="3" fontId="2" fillId="45" borderId="49" xfId="0" applyNumberFormat="1" applyFont="1" applyFill="1" applyBorder="1" applyAlignment="1">
      <alignment/>
    </xf>
    <xf numFmtId="3" fontId="2" fillId="54" borderId="49" xfId="0" applyNumberFormat="1" applyFont="1" applyFill="1" applyBorder="1" applyAlignment="1">
      <alignment/>
    </xf>
    <xf numFmtId="3" fontId="2" fillId="47" borderId="49" xfId="0" applyNumberFormat="1" applyFont="1" applyFill="1" applyBorder="1" applyAlignment="1">
      <alignment/>
    </xf>
    <xf numFmtId="0" fontId="2" fillId="0" borderId="49" xfId="0" applyFont="1" applyFill="1" applyBorder="1" applyAlignment="1">
      <alignment vertical="top" wrapText="1"/>
    </xf>
    <xf numFmtId="3" fontId="0" fillId="48" borderId="50" xfId="0" applyNumberFormat="1" applyFont="1" applyFill="1" applyBorder="1" applyAlignment="1">
      <alignment horizontal="right" vertical="center"/>
    </xf>
    <xf numFmtId="3" fontId="0" fillId="46" borderId="49" xfId="0" applyNumberFormat="1" applyFont="1" applyFill="1" applyBorder="1" applyAlignment="1">
      <alignment/>
    </xf>
    <xf numFmtId="0" fontId="3" fillId="0" borderId="54" xfId="0" applyFont="1" applyFill="1" applyBorder="1" applyAlignment="1">
      <alignment vertical="top" wrapText="1"/>
    </xf>
    <xf numFmtId="3" fontId="0" fillId="48" borderId="43" xfId="0" applyNumberFormat="1" applyFont="1" applyFill="1" applyBorder="1" applyAlignment="1">
      <alignment horizontal="right" vertical="center"/>
    </xf>
    <xf numFmtId="3" fontId="0" fillId="0" borderId="54" xfId="0" applyNumberFormat="1" applyFont="1" applyFill="1" applyBorder="1" applyAlignment="1">
      <alignment/>
    </xf>
    <xf numFmtId="172" fontId="3" fillId="47" borderId="50" xfId="0" applyNumberFormat="1" applyFont="1" applyFill="1" applyBorder="1" applyAlignment="1">
      <alignment wrapText="1"/>
    </xf>
    <xf numFmtId="172" fontId="3" fillId="47" borderId="49" xfId="0" applyNumberFormat="1" applyFont="1" applyFill="1" applyBorder="1" applyAlignment="1">
      <alignment wrapText="1"/>
    </xf>
    <xf numFmtId="0" fontId="0" fillId="0" borderId="51" xfId="0" applyFont="1" applyFill="1" applyBorder="1" applyAlignment="1">
      <alignment wrapText="1"/>
    </xf>
    <xf numFmtId="10" fontId="0" fillId="0" borderId="50" xfId="0" applyNumberFormat="1" applyFont="1" applyFill="1" applyBorder="1" applyAlignment="1">
      <alignment wrapText="1"/>
    </xf>
    <xf numFmtId="0" fontId="0" fillId="0" borderId="49" xfId="0" applyFill="1" applyBorder="1" applyAlignment="1">
      <alignment/>
    </xf>
    <xf numFmtId="0" fontId="10" fillId="0" borderId="49" xfId="0" applyFont="1" applyFill="1" applyBorder="1" applyAlignment="1">
      <alignment wrapText="1"/>
    </xf>
    <xf numFmtId="3" fontId="10" fillId="47" borderId="49" xfId="0" applyNumberFormat="1" applyFont="1" applyFill="1" applyBorder="1" applyAlignment="1">
      <alignment wrapText="1"/>
    </xf>
    <xf numFmtId="0" fontId="10" fillId="0" borderId="0" xfId="0" applyFont="1" applyAlignment="1">
      <alignment/>
    </xf>
    <xf numFmtId="0" fontId="0" fillId="0" borderId="0" xfId="0" applyFont="1" applyFill="1" applyBorder="1" applyAlignment="1">
      <alignment wrapText="1"/>
    </xf>
    <xf numFmtId="3" fontId="0" fillId="0" borderId="0" xfId="0" applyNumberFormat="1" applyFont="1" applyFill="1" applyBorder="1" applyAlignment="1">
      <alignment wrapText="1"/>
    </xf>
    <xf numFmtId="0" fontId="0" fillId="0" borderId="49" xfId="0" applyFont="1" applyFill="1" applyBorder="1" applyAlignment="1">
      <alignment wrapText="1"/>
    </xf>
    <xf numFmtId="3" fontId="3" fillId="0" borderId="49" xfId="0" applyNumberFormat="1" applyFont="1" applyFill="1" applyBorder="1" applyAlignment="1">
      <alignment horizontal="center" wrapText="1"/>
    </xf>
    <xf numFmtId="9" fontId="3" fillId="0" borderId="49" xfId="0" applyNumberFormat="1" applyFont="1" applyFill="1" applyBorder="1" applyAlignment="1">
      <alignment wrapText="1"/>
    </xf>
    <xf numFmtId="4" fontId="3" fillId="0" borderId="49" xfId="0" applyNumberFormat="1" applyFont="1" applyFill="1" applyBorder="1" applyAlignment="1">
      <alignment wrapText="1"/>
    </xf>
    <xf numFmtId="0" fontId="2" fillId="44" borderId="49" xfId="0" applyNumberFormat="1" applyFont="1" applyFill="1" applyBorder="1" applyAlignment="1">
      <alignment horizontal="left" wrapText="1"/>
    </xf>
    <xf numFmtId="3" fontId="2" fillId="48" borderId="49" xfId="0" applyNumberFormat="1" applyFont="1" applyFill="1" applyBorder="1" applyAlignment="1">
      <alignment/>
    </xf>
    <xf numFmtId="0" fontId="5" fillId="0" borderId="49" xfId="0" applyFont="1" applyFill="1" applyBorder="1" applyAlignment="1">
      <alignment wrapText="1"/>
    </xf>
    <xf numFmtId="3" fontId="0" fillId="0" borderId="49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50" borderId="49" xfId="0" applyFont="1" applyFill="1" applyBorder="1" applyAlignment="1">
      <alignment wrapText="1"/>
    </xf>
    <xf numFmtId="3" fontId="2" fillId="50" borderId="49" xfId="0" applyNumberFormat="1" applyFont="1" applyFill="1" applyBorder="1" applyAlignment="1">
      <alignment/>
    </xf>
    <xf numFmtId="0" fontId="11" fillId="0" borderId="55" xfId="0" applyFont="1" applyFill="1" applyBorder="1" applyAlignment="1">
      <alignment/>
    </xf>
    <xf numFmtId="0" fontId="19" fillId="40" borderId="0" xfId="0" applyFont="1" applyFill="1" applyAlignment="1">
      <alignment wrapText="1"/>
    </xf>
    <xf numFmtId="0" fontId="2" fillId="55" borderId="0" xfId="0" applyNumberFormat="1" applyFont="1" applyFill="1" applyBorder="1" applyAlignment="1">
      <alignment horizontal="center" wrapText="1"/>
    </xf>
    <xf numFmtId="0" fontId="20" fillId="40" borderId="0" xfId="0" applyFont="1" applyFill="1" applyAlignment="1">
      <alignment/>
    </xf>
    <xf numFmtId="3" fontId="4" fillId="37" borderId="18" xfId="0" applyNumberFormat="1" applyFont="1" applyFill="1" applyBorder="1" applyAlignment="1">
      <alignment wrapText="1"/>
    </xf>
    <xf numFmtId="3" fontId="4" fillId="0" borderId="17" xfId="0" applyNumberFormat="1" applyFont="1" applyFill="1" applyBorder="1" applyAlignment="1">
      <alignment/>
    </xf>
    <xf numFmtId="3" fontId="4" fillId="37" borderId="18" xfId="0" applyNumberFormat="1" applyFont="1" applyFill="1" applyBorder="1" applyAlignment="1">
      <alignment wrapText="1"/>
    </xf>
    <xf numFmtId="3" fontId="4" fillId="0" borderId="18" xfId="0" applyNumberFormat="1" applyFont="1" applyFill="1" applyBorder="1" applyAlignment="1">
      <alignment wrapText="1"/>
    </xf>
    <xf numFmtId="3" fontId="4" fillId="0" borderId="17" xfId="0" applyNumberFormat="1" applyFont="1" applyFill="1" applyBorder="1" applyAlignment="1">
      <alignment wrapText="1"/>
    </xf>
    <xf numFmtId="3" fontId="4" fillId="35" borderId="18" xfId="0" applyNumberFormat="1" applyFont="1" applyFill="1" applyBorder="1" applyAlignment="1">
      <alignment wrapText="1"/>
    </xf>
    <xf numFmtId="3" fontId="4" fillId="35" borderId="16" xfId="0" applyNumberFormat="1" applyFont="1" applyFill="1" applyBorder="1" applyAlignment="1">
      <alignment/>
    </xf>
    <xf numFmtId="3" fontId="4" fillId="35" borderId="17" xfId="0" applyNumberFormat="1" applyFont="1" applyFill="1" applyBorder="1" applyAlignment="1">
      <alignment/>
    </xf>
    <xf numFmtId="3" fontId="4" fillId="36" borderId="16" xfId="0" applyNumberFormat="1" applyFont="1" applyFill="1" applyBorder="1" applyAlignment="1">
      <alignment/>
    </xf>
    <xf numFmtId="3" fontId="4" fillId="37" borderId="16" xfId="0" applyNumberFormat="1" applyFont="1" applyFill="1" applyBorder="1" applyAlignment="1">
      <alignment/>
    </xf>
    <xf numFmtId="3" fontId="4" fillId="37" borderId="34" xfId="0" applyNumberFormat="1" applyFont="1" applyFill="1" applyBorder="1" applyAlignment="1">
      <alignment wrapText="1"/>
    </xf>
    <xf numFmtId="3" fontId="8" fillId="0" borderId="16" xfId="45" applyNumberFormat="1" applyFont="1" applyFill="1" applyBorder="1">
      <alignment/>
      <protection/>
    </xf>
    <xf numFmtId="3" fontId="4" fillId="37" borderId="36" xfId="0" applyNumberFormat="1" applyFont="1" applyFill="1" applyBorder="1" applyAlignment="1">
      <alignment wrapText="1"/>
    </xf>
    <xf numFmtId="3" fontId="4" fillId="56" borderId="18" xfId="0" applyNumberFormat="1" applyFont="1" applyFill="1" applyBorder="1" applyAlignment="1">
      <alignment wrapText="1"/>
    </xf>
    <xf numFmtId="3" fontId="4" fillId="38" borderId="16" xfId="0" applyNumberFormat="1" applyFont="1" applyFill="1" applyBorder="1" applyAlignment="1">
      <alignment/>
    </xf>
    <xf numFmtId="3" fontId="4" fillId="39" borderId="16" xfId="0" applyNumberFormat="1" applyFont="1" applyFill="1" applyBorder="1" applyAlignment="1">
      <alignment/>
    </xf>
    <xf numFmtId="3" fontId="4" fillId="40" borderId="16" xfId="0" applyNumberFormat="1" applyFont="1" applyFill="1" applyBorder="1" applyAlignment="1">
      <alignment/>
    </xf>
    <xf numFmtId="3" fontId="4" fillId="41" borderId="17" xfId="0" applyNumberFormat="1" applyFont="1" applyFill="1" applyBorder="1" applyAlignment="1">
      <alignment/>
    </xf>
    <xf numFmtId="3" fontId="2" fillId="56" borderId="18" xfId="0" applyNumberFormat="1" applyFont="1" applyFill="1" applyBorder="1" applyAlignment="1">
      <alignment wrapText="1"/>
    </xf>
    <xf numFmtId="3" fontId="4" fillId="37" borderId="50" xfId="0" applyNumberFormat="1" applyFont="1" applyFill="1" applyBorder="1" applyAlignment="1">
      <alignment horizontal="right" vertical="center"/>
    </xf>
    <xf numFmtId="3" fontId="4" fillId="55" borderId="16" xfId="0" applyNumberFormat="1" applyFont="1" applyFill="1" applyBorder="1" applyAlignment="1">
      <alignment/>
    </xf>
    <xf numFmtId="3" fontId="4" fillId="37" borderId="43" xfId="0" applyNumberFormat="1" applyFont="1" applyFill="1" applyBorder="1" applyAlignment="1">
      <alignment horizontal="right" vertical="center"/>
    </xf>
    <xf numFmtId="3" fontId="4" fillId="0" borderId="44" xfId="0" applyNumberFormat="1" applyFont="1" applyFill="1" applyBorder="1" applyAlignment="1">
      <alignment/>
    </xf>
    <xf numFmtId="3" fontId="2" fillId="37" borderId="16" xfId="0" applyNumberFormat="1" applyFont="1" applyFill="1" applyBorder="1" applyAlignment="1">
      <alignment/>
    </xf>
    <xf numFmtId="3" fontId="2" fillId="37" borderId="17" xfId="0" applyNumberFormat="1" applyFont="1" applyFill="1" applyBorder="1" applyAlignment="1">
      <alignment/>
    </xf>
    <xf numFmtId="3" fontId="4" fillId="0" borderId="16" xfId="0" applyNumberFormat="1" applyFont="1" applyBorder="1" applyAlignment="1">
      <alignment/>
    </xf>
    <xf numFmtId="3" fontId="2" fillId="36" borderId="16" xfId="0" applyNumberFormat="1" applyFont="1" applyFill="1" applyBorder="1" applyAlignment="1">
      <alignment/>
    </xf>
    <xf numFmtId="3" fontId="2" fillId="36" borderId="17" xfId="0" applyNumberFormat="1" applyFont="1" applyFill="1" applyBorder="1" applyAlignment="1">
      <alignment/>
    </xf>
    <xf numFmtId="3" fontId="4" fillId="37" borderId="17" xfId="0" applyNumberFormat="1" applyFont="1" applyFill="1" applyBorder="1" applyAlignment="1">
      <alignment/>
    </xf>
    <xf numFmtId="3" fontId="4" fillId="37" borderId="24" xfId="0" applyNumberFormat="1" applyFont="1" applyFill="1" applyBorder="1" applyAlignment="1">
      <alignment/>
    </xf>
    <xf numFmtId="3" fontId="4" fillId="37" borderId="25" xfId="0" applyNumberFormat="1" applyFont="1" applyFill="1" applyBorder="1" applyAlignment="1">
      <alignment/>
    </xf>
    <xf numFmtId="0" fontId="2" fillId="57" borderId="0" xfId="0" applyNumberFormat="1" applyFont="1" applyFill="1" applyBorder="1" applyAlignment="1">
      <alignment horizontal="center" wrapText="1"/>
    </xf>
    <xf numFmtId="3" fontId="4" fillId="58" borderId="16" xfId="0" applyNumberFormat="1" applyFont="1" applyFill="1" applyBorder="1" applyAlignment="1">
      <alignment/>
    </xf>
    <xf numFmtId="3" fontId="4" fillId="59" borderId="16" xfId="0" applyNumberFormat="1" applyFont="1" applyFill="1" applyBorder="1" applyAlignment="1">
      <alignment/>
    </xf>
    <xf numFmtId="0" fontId="2" fillId="33" borderId="30" xfId="0" applyFont="1" applyFill="1" applyBorder="1" applyAlignment="1">
      <alignment wrapText="1"/>
    </xf>
    <xf numFmtId="0" fontId="12" fillId="60" borderId="19" xfId="0" applyFont="1" applyFill="1" applyBorder="1" applyAlignment="1">
      <alignment horizontal="left" vertical="center"/>
    </xf>
    <xf numFmtId="0" fontId="2" fillId="60" borderId="19" xfId="0" applyFont="1" applyFill="1" applyBorder="1" applyAlignment="1">
      <alignment horizontal="left" vertical="center"/>
    </xf>
    <xf numFmtId="3" fontId="2" fillId="60" borderId="18" xfId="0" applyNumberFormat="1" applyFont="1" applyFill="1" applyBorder="1" applyAlignment="1">
      <alignment wrapText="1"/>
    </xf>
    <xf numFmtId="3" fontId="2" fillId="60" borderId="16" xfId="0" applyNumberFormat="1" applyFont="1" applyFill="1" applyBorder="1" applyAlignment="1">
      <alignment wrapText="1"/>
    </xf>
    <xf numFmtId="3" fontId="2" fillId="60" borderId="17" xfId="0" applyNumberFormat="1" applyFont="1" applyFill="1" applyBorder="1" applyAlignment="1">
      <alignment wrapText="1"/>
    </xf>
    <xf numFmtId="3" fontId="12" fillId="60" borderId="32" xfId="0" applyNumberFormat="1" applyFont="1" applyFill="1" applyBorder="1" applyAlignment="1">
      <alignment wrapText="1"/>
    </xf>
    <xf numFmtId="3" fontId="12" fillId="60" borderId="16" xfId="0" applyNumberFormat="1" applyFont="1" applyFill="1" applyBorder="1" applyAlignment="1">
      <alignment wrapText="1"/>
    </xf>
    <xf numFmtId="3" fontId="12" fillId="60" borderId="17" xfId="0" applyNumberFormat="1" applyFont="1" applyFill="1" applyBorder="1" applyAlignment="1">
      <alignment wrapText="1"/>
    </xf>
    <xf numFmtId="0" fontId="2" fillId="61" borderId="51" xfId="0" applyFont="1" applyFill="1" applyBorder="1" applyAlignment="1">
      <alignment horizontal="left" vertical="center"/>
    </xf>
    <xf numFmtId="3" fontId="2" fillId="62" borderId="50" xfId="0" applyNumberFormat="1" applyFont="1" applyFill="1" applyBorder="1" applyAlignment="1">
      <alignment wrapText="1"/>
    </xf>
    <xf numFmtId="3" fontId="2" fillId="62" borderId="49" xfId="0" applyNumberFormat="1" applyFont="1" applyFill="1" applyBorder="1" applyAlignment="1">
      <alignment wrapText="1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Normal 2" xfId="44"/>
    <cellStyle name="Normal_Sheet1" xfId="45"/>
    <cellStyle name="Pealkiri" xfId="46"/>
    <cellStyle name="Pealkiri 1" xfId="47"/>
    <cellStyle name="Pealkiri 2" xfId="48"/>
    <cellStyle name="Pealkiri 3" xfId="49"/>
    <cellStyle name="Pealkiri 4" xfId="50"/>
    <cellStyle name="Percent" xfId="51"/>
    <cellStyle name="Rõhk1" xfId="52"/>
    <cellStyle name="Rõhk2" xfId="53"/>
    <cellStyle name="Rõhk3" xfId="54"/>
    <cellStyle name="Rõhk4" xfId="55"/>
    <cellStyle name="Rõhk5" xfId="56"/>
    <cellStyle name="Rõhk6" xfId="57"/>
    <cellStyle name="Selgitav tekst" xfId="58"/>
    <cellStyle name="Sisestus" xfId="59"/>
    <cellStyle name="Currency" xfId="60"/>
    <cellStyle name="Currency [0]" xfId="61"/>
    <cellStyle name="Väljund" xfId="62"/>
  </cellStyles>
  <dxfs count="12">
    <dxf>
      <font>
        <color rgb="FF9C0006"/>
      </font>
      <fill>
        <patternFill>
          <bgColor rgb="FFFFC7CE"/>
        </patternFill>
      </fill>
    </dxf>
    <dxf>
      <fill>
        <patternFill>
          <bgColor indexed="14"/>
        </patternFill>
      </fill>
    </dxf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 val="0"/>
        <color rgb="FF800080"/>
      </font>
      <fill>
        <patternFill patternType="solid">
          <fgColor rgb="FFFF8080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piksel.ee/dogre/jogeva/index.php?module=32&amp;op=1&amp;id=4956" TargetMode="External" /><Relationship Id="rId2" Type="http://schemas.openxmlformats.org/officeDocument/2006/relationships/hyperlink" Target="http://piksel.ee/dogre/jogeva/index.php?module=32&amp;op=1&amp;id=4956" TargetMode="External" /><Relationship Id="rId3" Type="http://schemas.openxmlformats.org/officeDocument/2006/relationships/hyperlink" Target="http://piksel.ee/dogre/jogeva/index.php?module=32&amp;op=1&amp;id=5233" TargetMode="External" /><Relationship Id="rId4" Type="http://schemas.openxmlformats.org/officeDocument/2006/relationships/hyperlink" Target="http://piksel.ee/dogre/jogeva/index.php?module=32&amp;op=1&amp;id=5220" TargetMode="External" /><Relationship Id="rId5" Type="http://schemas.openxmlformats.org/officeDocument/2006/relationships/hyperlink" Target="http://piksel.ee/dogre/jogeva/index.php?module=266&amp;op=3&amp;id=26965" TargetMode="External" /><Relationship Id="rId6" Type="http://schemas.openxmlformats.org/officeDocument/2006/relationships/hyperlink" Target="http://piksel.ee/dogre/jogeva/index.php?module=32&amp;op=1&amp;id=5481" TargetMode="External" /><Relationship Id="rId7" Type="http://schemas.openxmlformats.org/officeDocument/2006/relationships/hyperlink" Target="http://piksel.ee/dogre/jogeva/index.php?module=32&amp;op=1&amp;id=4956" TargetMode="External" /><Relationship Id="rId8" Type="http://schemas.openxmlformats.org/officeDocument/2006/relationships/hyperlink" Target="http://piksel.ee/dogre/jogeva/index.php?module=32&amp;op=1&amp;id=5233" TargetMode="External" /><Relationship Id="rId9" Type="http://schemas.openxmlformats.org/officeDocument/2006/relationships/hyperlink" Target="http://piksel.ee/dogre/jogeva/index.php?module=32&amp;op=1&amp;id=5220" TargetMode="External" /><Relationship Id="rId10" Type="http://schemas.openxmlformats.org/officeDocument/2006/relationships/hyperlink" Target="http://piksel.ee/dogre/jogeva/index.php?module=266&amp;op=3&amp;id=26965" TargetMode="External" /><Relationship Id="rId11" Type="http://schemas.openxmlformats.org/officeDocument/2006/relationships/hyperlink" Target="http://piksel.ee/dogre/jogeva/index.php?module=32&amp;op=1&amp;id=5481" TargetMode="External" /><Relationship Id="rId12" Type="http://schemas.openxmlformats.org/officeDocument/2006/relationships/hyperlink" Target="http://piksel.ee/dogre/jogeva/index.php?module=32&amp;op=1&amp;id=4956" TargetMode="External" /><Relationship Id="rId13" Type="http://schemas.openxmlformats.org/officeDocument/2006/relationships/hyperlink" Target="http://piksel.ee/dogre/jogeva/index.php?module=32&amp;op=1&amp;id=5233" TargetMode="External" /><Relationship Id="rId14" Type="http://schemas.openxmlformats.org/officeDocument/2006/relationships/hyperlink" Target="http://piksel.ee/dogre/jogeva/index.php?module=32&amp;op=1&amp;id=5220" TargetMode="External" /><Relationship Id="rId15" Type="http://schemas.openxmlformats.org/officeDocument/2006/relationships/hyperlink" Target="http://piksel.ee/dogre/jogeva/index.php?module=266&amp;op=3&amp;id=26965" TargetMode="External" /><Relationship Id="rId16" Type="http://schemas.openxmlformats.org/officeDocument/2006/relationships/hyperlink" Target="http://piksel.ee/dogre/jogeva/index.php?module=32&amp;op=1&amp;id=5481" TargetMode="External" /><Relationship Id="rId17" Type="http://schemas.openxmlformats.org/officeDocument/2006/relationships/hyperlink" Target="http://piksel.ee/dogre/jogeva/index.php?module=32&amp;op=1&amp;id=4956" TargetMode="External" /><Relationship Id="rId18" Type="http://schemas.openxmlformats.org/officeDocument/2006/relationships/hyperlink" Target="http://piksel.ee/dogre/jogeva/index.php?module=32&amp;op=1&amp;id=5233" TargetMode="External" /><Relationship Id="rId19" Type="http://schemas.openxmlformats.org/officeDocument/2006/relationships/hyperlink" Target="http://piksel.ee/dogre/jogeva/index.php?module=32&amp;op=1&amp;id=5220" TargetMode="External" /><Relationship Id="rId20" Type="http://schemas.openxmlformats.org/officeDocument/2006/relationships/hyperlink" Target="http://piksel.ee/dogre/jogeva/index.php?module=266&amp;op=3&amp;id=26965" TargetMode="External" /><Relationship Id="rId21" Type="http://schemas.openxmlformats.org/officeDocument/2006/relationships/hyperlink" Target="http://piksel.ee/dogre/jogeva/index.php?module=32&amp;op=1&amp;id=548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PageLayoutView="0" workbookViewId="0" topLeftCell="A1">
      <pane xSplit="1" ySplit="1" topLeftCell="B17" activePane="bottomRight" state="frozen"/>
      <selection pane="topLeft" activeCell="H14" sqref="H14"/>
      <selection pane="topRight" activeCell="H14" sqref="H14"/>
      <selection pane="bottomLeft" activeCell="H14" sqref="H14"/>
      <selection pane="bottomRight" activeCell="H14" sqref="H14"/>
    </sheetView>
  </sheetViews>
  <sheetFormatPr defaultColWidth="9.140625" defaultRowHeight="15"/>
  <cols>
    <col min="1" max="1" width="42.57421875" style="0" customWidth="1"/>
    <col min="2" max="2" width="12.8515625" style="0" customWidth="1"/>
    <col min="3" max="3" width="14.00390625" style="0" customWidth="1"/>
    <col min="4" max="4" width="11.7109375" style="0" customWidth="1"/>
    <col min="5" max="5" width="11.140625" style="0" customWidth="1"/>
    <col min="6" max="6" width="11.57421875" style="0" customWidth="1"/>
    <col min="7" max="7" width="12.421875" style="0" customWidth="1"/>
  </cols>
  <sheetData>
    <row r="1" spans="1:7" ht="27" thickBot="1">
      <c r="A1" s="1" t="s">
        <v>68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</row>
    <row r="2" spans="1:7" ht="15">
      <c r="A2" s="3" t="s">
        <v>6</v>
      </c>
      <c r="B2" s="4">
        <f aca="true" t="shared" si="0" ref="B2:G2">B3+B7+B8+B12</f>
        <v>8761965.12</v>
      </c>
      <c r="C2" s="4">
        <f t="shared" si="0"/>
        <v>8842197.82</v>
      </c>
      <c r="D2" s="4">
        <f t="shared" si="0"/>
        <v>8503647.908181623</v>
      </c>
      <c r="E2" s="4">
        <f t="shared" si="0"/>
        <v>8703460.799088402</v>
      </c>
      <c r="F2" s="4">
        <f t="shared" si="0"/>
        <v>8980952.909981847</v>
      </c>
      <c r="G2" s="5">
        <f t="shared" si="0"/>
        <v>9255307.42991607</v>
      </c>
    </row>
    <row r="3" spans="1:7" ht="15">
      <c r="A3" s="6" t="s">
        <v>7</v>
      </c>
      <c r="B3" s="7">
        <f aca="true" t="shared" si="1" ref="B3:G3">SUM(B4:B6)</f>
        <v>5191337</v>
      </c>
      <c r="C3" s="7">
        <f t="shared" si="1"/>
        <v>5463280</v>
      </c>
      <c r="D3" s="7">
        <f t="shared" si="1"/>
        <v>5561618.238181622</v>
      </c>
      <c r="E3" s="7">
        <f t="shared" si="1"/>
        <v>5797847.524988403</v>
      </c>
      <c r="F3" s="7">
        <f t="shared" si="1"/>
        <v>6027451.074146846</v>
      </c>
      <c r="G3" s="8">
        <f t="shared" si="1"/>
        <v>6284449.864762518</v>
      </c>
    </row>
    <row r="4" spans="1:7" ht="15">
      <c r="A4" s="6" t="s">
        <v>8</v>
      </c>
      <c r="B4" s="61">
        <f>Kärdla!B4+Emmaste!B4+Kõrgesssaare!B4+Käina!B4+Pühalepa!B4+1!B4+2!B4+3!B4+4!B4+5!B4+6!C4+7!C4+8!B4</f>
        <v>4805672</v>
      </c>
      <c r="C4" s="61">
        <f>Kärdla!C4+Emmaste!C4+Kõrgesssaare!C4+Käina!C4+Pühalepa!C4+1!C4+2!C4+3!C4+4!C4+5!C4+6!D4+7!D4+8!C4</f>
        <v>5076700</v>
      </c>
      <c r="D4" s="61">
        <f>Kärdla!D4+Emmaste!D4+Kõrgesssaare!D4+Käina!D4+Pühalepa!D4+1!D4+2!D4+3!D4+4!D4+5!D4+6!E4+7!E4+8!D4</f>
        <v>5206918.238181622</v>
      </c>
      <c r="E4" s="61">
        <f>Kärdla!E4+Emmaste!E4+Kõrgesssaare!E4+Käina!E4+Pühalepa!E4+1!E4+2!E4+3!E4+4!E4+5!E4+6!F4+7!F4+8!E4</f>
        <v>5443047.524988403</v>
      </c>
      <c r="F4" s="61">
        <f>Kärdla!F4+Emmaste!F4+Kõrgesssaare!F4+Käina!F4+Pühalepa!F4+1!F4+2!F4+3!F4+4!F4+5!F4+6!G4+7!G4+8!F4</f>
        <v>5672651.074146846</v>
      </c>
      <c r="G4" s="61">
        <f>Kärdla!G4+Emmaste!G4+Kõrgesssaare!G4+Käina!G4+Pühalepa!G4+1!G4+2!G4+3!G4+4!G4+5!G4+6!H4+7!H4+8!G4</f>
        <v>5929649.864762518</v>
      </c>
    </row>
    <row r="5" spans="1:7" ht="15">
      <c r="A5" s="6" t="s">
        <v>9</v>
      </c>
      <c r="B5" s="61">
        <f>Kärdla!B5+Emmaste!B5+Kõrgesssaare!B5+Käina!B5+Pühalepa!B5+1!B5+2!B5+3!B5+4!B5+5!B5+6!C5+7!C5+8!B5</f>
        <v>385665</v>
      </c>
      <c r="C5" s="61">
        <f>Kärdla!C5+Emmaste!C5+Kõrgesssaare!C5+Käina!C5+Pühalepa!C5+1!C5+2!C5+3!C5+4!C5+5!C5+6!D5+7!D5+8!C5</f>
        <v>386580</v>
      </c>
      <c r="D5" s="61">
        <f>Kärdla!D5+Emmaste!D5+Kõrgesssaare!D5+Käina!D5+Pühalepa!D5+1!D5+2!D5+3!D5+4!D5+5!D5+6!E5+7!E5+8!D5</f>
        <v>354700</v>
      </c>
      <c r="E5" s="61">
        <f>Kärdla!E5+Emmaste!E5+Kõrgesssaare!E5+Käina!E5+Pühalepa!E5+1!E5+2!E5+3!E5+4!E5+5!E5+6!F5+7!F5+8!E5</f>
        <v>354800</v>
      </c>
      <c r="F5" s="61">
        <f>Kärdla!F5+Emmaste!F5+Kõrgesssaare!F5+Käina!F5+Pühalepa!F5+1!F5+2!F5+3!F5+4!F5+5!F5+6!G5+7!G5+8!F5</f>
        <v>354800</v>
      </c>
      <c r="G5" s="61">
        <f>Kärdla!G5+Emmaste!G5+Kõrgesssaare!G5+Käina!G5+Pühalepa!G5+1!G5+2!G5+3!G5+4!G5+5!G5+6!H5+7!H5+8!G5</f>
        <v>354800</v>
      </c>
    </row>
    <row r="6" spans="1:7" ht="15">
      <c r="A6" s="6" t="s">
        <v>10</v>
      </c>
      <c r="B6" s="61">
        <f>Kärdla!B6+Emmaste!B6+Kõrgesssaare!B6+Käina!B6+Pühalepa!B6+1!B6+2!B6+3!B6+4!B6+5!B6+6!C6+7!C6+8!B6</f>
        <v>0</v>
      </c>
      <c r="C6" s="61">
        <f>Kärdla!C6+Emmaste!C6+Kõrgesssaare!C6+Käina!C6+Pühalepa!C6+1!C6+2!C6+3!C6+4!C6+5!C6+6!D6+7!D6+8!C6</f>
        <v>0</v>
      </c>
      <c r="D6" s="61">
        <f>Kärdla!D6+Emmaste!D6+Kõrgesssaare!D6+Käina!D6+Pühalepa!D6+1!D6+2!D6+3!D6+4!D6+5!D6+6!E6+7!E6+8!D6</f>
        <v>0</v>
      </c>
      <c r="E6" s="61">
        <f>Kärdla!E6+Emmaste!E6+Kõrgesssaare!E6+Käina!E6+Pühalepa!E6+1!E6+2!E6+3!E6+4!E6+5!E6+6!F6+7!F6+8!E6</f>
        <v>0</v>
      </c>
      <c r="F6" s="61">
        <f>Kärdla!F6+Emmaste!F6+Kõrgesssaare!F6+Käina!F6+Pühalepa!F6+1!F6+2!F6+3!F6+4!F6+5!F6+6!G6+7!G6+8!F6</f>
        <v>0</v>
      </c>
      <c r="G6" s="61">
        <f>Kärdla!G6+Emmaste!G6+Kõrgesssaare!G6+Käina!G6+Pühalepa!G6+1!G6+2!G6+3!G6+4!G6+5!G6+6!H6+7!H6+8!G6</f>
        <v>0</v>
      </c>
    </row>
    <row r="7" spans="1:7" ht="15">
      <c r="A7" s="6" t="s">
        <v>11</v>
      </c>
      <c r="B7" s="61">
        <f>Kärdla!B7+Emmaste!B7+Kõrgesssaare!B7+Käina!B7+Pühalepa!B7+1!B7+2!B7+3!B7+4!B7+5!B7+6!C7+7!C7+8!B7</f>
        <v>853783.64</v>
      </c>
      <c r="C7" s="61">
        <f>Kärdla!C7+Emmaste!C7+Kõrgesssaare!C7+Käina!C7+Pühalepa!C7+1!C7+2!C7+3!C7+4!C7+5!C7+6!D7+7!D7+8!C7</f>
        <v>706147.88</v>
      </c>
      <c r="D7" s="61">
        <f>Kärdla!D7+Emmaste!D7+Kõrgesssaare!D7+Käina!D7+Pühalepa!D7+1!D7+2!D7+3!D7+4!D7+5!D7+6!E7+7!E7+8!D7</f>
        <v>777323.67</v>
      </c>
      <c r="E7" s="61">
        <f>Kärdla!E7+Emmaste!E7+Kõrgesssaare!E7+Käina!E7+Pühalepa!E7+1!E7+2!E7+3!E7+4!E7+5!E7+6!F7+7!F7+8!E7</f>
        <v>782450.3241000001</v>
      </c>
      <c r="F7" s="61">
        <f>Kärdla!F7+Emmaste!F7+Kõrgesssaare!F7+Käina!F7+Pühalepa!F7+1!F7+2!F7+3!F7+4!F7+5!F7+6!G7+7!G7+8!F7</f>
        <v>797866.506335</v>
      </c>
      <c r="G7" s="61">
        <f>Kärdla!G7+Emmaste!G7+Kõrgesssaare!G7+Käina!G7+Pühalepa!G7+1!G7+2!G7+3!G7+4!G7+5!G7+6!H7+7!H7+8!G7</f>
        <v>813653.342358554</v>
      </c>
    </row>
    <row r="8" spans="1:7" ht="15">
      <c r="A8" s="6" t="s">
        <v>12</v>
      </c>
      <c r="B8" s="10">
        <f aca="true" t="shared" si="2" ref="B8:G8">SUM(B9:B11)</f>
        <v>2626088.96</v>
      </c>
      <c r="C8" s="7">
        <f t="shared" si="2"/>
        <v>2579644.94</v>
      </c>
      <c r="D8" s="7">
        <f t="shared" si="2"/>
        <v>2118306</v>
      </c>
      <c r="E8" s="7">
        <f t="shared" si="2"/>
        <v>2076762.95</v>
      </c>
      <c r="F8" s="7">
        <f t="shared" si="2"/>
        <v>2109235.3295</v>
      </c>
      <c r="G8" s="8">
        <f t="shared" si="2"/>
        <v>2110804.222795</v>
      </c>
    </row>
    <row r="9" spans="1:7" ht="15">
      <c r="A9" s="6" t="s">
        <v>13</v>
      </c>
      <c r="B9" s="61">
        <f>Kärdla!B9+Emmaste!B9+Kõrgesssaare!B9+Käina!B9+Pühalepa!B9+1!B9+2!B9+3!B9+4!B9+5!B9+6!C9+7!C9+8!B9</f>
        <v>39445</v>
      </c>
      <c r="C9" s="61">
        <f>Kärdla!C9+Emmaste!C9+Kõrgesssaare!C9+Käina!C9+Pühalepa!C9+1!C9+2!C9+3!C9+4!C9+5!C9+6!D9+7!D9+8!C9</f>
        <v>50567</v>
      </c>
      <c r="D9" s="61">
        <f>Kärdla!D9+Emmaste!D9+Kõrgesssaare!D9+Käina!D9+Pühalepa!D9+1!D9+2!D9+3!D9+4!D9+5!D9+6!E9+7!E9+8!D9</f>
        <v>3000</v>
      </c>
      <c r="E9" s="61">
        <f>Kärdla!E9+Emmaste!E9+Kõrgesssaare!E9+Käina!E9+Pühalepa!E9+1!E9+2!E9+3!E9+4!E9+5!E9+6!F9+7!F9+8!E9</f>
        <v>3000</v>
      </c>
      <c r="F9" s="61">
        <f>Kärdla!F9+Emmaste!F9+Kõrgesssaare!F9+Käina!F9+Pühalepa!F9+1!F9+2!F9+3!F9+4!F9+5!F9+6!G9+7!G9+8!F9</f>
        <v>3000</v>
      </c>
      <c r="G9" s="61">
        <f>Kärdla!G9+Emmaste!G9+Kõrgesssaare!G9+Käina!G9+Pühalepa!G9+1!G9+2!G9+3!G9+4!G9+5!G9+6!H9+7!H9+8!G9</f>
        <v>3000</v>
      </c>
    </row>
    <row r="10" spans="1:7" ht="15">
      <c r="A10" s="6" t="s">
        <v>14</v>
      </c>
      <c r="B10" s="61">
        <f>Kärdla!B10+Emmaste!B10+Kõrgesssaare!B10+Käina!B10+Pühalepa!B10+1!B10+2!B10+3!B10+4!B10+5!B10+6!C10+7!C10+8!B10</f>
        <v>1901782</v>
      </c>
      <c r="C10" s="61">
        <f>Kärdla!C10+Emmaste!C10+Kõrgesssaare!C10+Käina!C10+Pühalepa!C10+1!C10+2!C10+3!C10+4!C10+5!C10+6!D10+7!D10+8!C10</f>
        <v>1882962</v>
      </c>
      <c r="D10" s="61">
        <f>Kärdla!D10+Emmaste!D10+Kõrgesssaare!D10+Käina!D10+Pühalepa!D10+1!D10+2!D10+3!D10+4!D10+5!D10+6!E10+7!E10+8!D10</f>
        <v>1846968</v>
      </c>
      <c r="E10" s="61">
        <f>Kärdla!E10+Emmaste!E10+Kõrgesssaare!E10+Käina!E10+Pühalepa!E10+1!E10+2!E10+3!E10+4!E10+5!E10+6!F10+7!F10+8!E10</f>
        <v>1848962</v>
      </c>
      <c r="F10" s="61">
        <f>Kärdla!F10+Emmaste!F10+Kõrgesssaare!F10+Käina!F10+Pühalepa!F10+1!F10+2!F10+3!F10+4!F10+5!F10+6!G10+7!G10+8!F10</f>
        <v>1882562</v>
      </c>
      <c r="G10" s="61">
        <f>Kärdla!G10+Emmaste!G10+Kõrgesssaare!G10+Käina!G10+Pühalepa!G10+1!G10+2!G10+3!G10+4!G10+5!G10+6!H10+7!H10+8!G10</f>
        <v>1883562</v>
      </c>
    </row>
    <row r="11" spans="1:7" ht="15">
      <c r="A11" s="6" t="s">
        <v>15</v>
      </c>
      <c r="B11" s="61">
        <f>Kärdla!B11+Emmaste!B11+Kõrgesssaare!B11+Käina!B11+Pühalepa!B11+1!B11+2!B11+3!B11+4!B11+5!B11+6!C11+7!C11+8!B11</f>
        <v>684861.96</v>
      </c>
      <c r="C11" s="61">
        <f>Kärdla!C11+Emmaste!C11+Kõrgesssaare!C11+Käina!C11+Pühalepa!C11+1!C11+2!C11+3!C11+4!C11+5!C11+6!D11+7!D11+8!C11</f>
        <v>646115.94</v>
      </c>
      <c r="D11" s="61">
        <f>Kärdla!D11+Emmaste!D11+Kõrgesssaare!D11+Käina!D11+Pühalepa!D11+1!D11+2!D11+3!D11+4!D11+5!D11+6!E11+7!E11+8!D11</f>
        <v>268338</v>
      </c>
      <c r="E11" s="61">
        <f>Kärdla!E11+Emmaste!E11+Kõrgesssaare!E11+Käina!E11+Pühalepa!E11+1!E11+2!E11+3!E11+4!E11+5!E11+6!F11+7!F11+8!E11</f>
        <v>224800.95</v>
      </c>
      <c r="F11" s="61">
        <f>Kärdla!F11+Emmaste!F11+Kõrgesssaare!F11+Käina!F11+Pühalepa!F11+1!F11+2!F11+3!F11+4!F11+5!F11+6!G11+7!G11+8!F11</f>
        <v>223673.3295</v>
      </c>
      <c r="G11" s="61">
        <f>Kärdla!G11+Emmaste!G11+Kõrgesssaare!G11+Käina!G11+Pühalepa!G11+1!G11+2!G11+3!G11+4!G11+5!G11+6!H11+7!H11+8!G11</f>
        <v>224242.222795</v>
      </c>
    </row>
    <row r="12" spans="1:7" ht="15">
      <c r="A12" s="6" t="s">
        <v>16</v>
      </c>
      <c r="B12" s="61">
        <f>Kärdla!B12+Emmaste!B12+Kõrgesssaare!B12+Käina!B12+Pühalepa!B12+1!B12+2!B12+3!B12+4!B12+5!B12+6!C12+7!C12+8!B12</f>
        <v>90755.51999999999</v>
      </c>
      <c r="C12" s="61">
        <f>Kärdla!C12+Emmaste!C12+Kõrgesssaare!C12+Käina!C12+Pühalepa!C12+1!C12+2!C12+3!C12+4!C12+5!C12+6!D12+7!D12+8!C12</f>
        <v>93125</v>
      </c>
      <c r="D12" s="61">
        <f>Kärdla!D12+Emmaste!D12+Kõrgesssaare!D12+Käina!D12+Pühalepa!D12+1!D12+2!D12+3!D12+4!D12+5!D12+6!E12+7!E12+8!D12</f>
        <v>46400</v>
      </c>
      <c r="E12" s="61">
        <f>Kärdla!E12+Emmaste!E12+Kõrgesssaare!E12+Käina!E12+Pühalepa!E12+1!E12+2!E12+3!E12+4!E12+5!E12+6!F12+7!F12+8!E12</f>
        <v>46400</v>
      </c>
      <c r="F12" s="61">
        <f>Kärdla!F12+Emmaste!F12+Kõrgesssaare!F12+Käina!F12+Pühalepa!F12+1!F12+2!F12+3!F12+4!F12+5!F12+6!G12+7!G12+8!F12</f>
        <v>46400</v>
      </c>
      <c r="G12" s="61">
        <f>Kärdla!G12+Emmaste!G12+Kõrgesssaare!G12+Käina!G12+Pühalepa!G12+1!G12+2!G12+3!G12+4!G12+5!G12+6!H12+7!H12+8!G12</f>
        <v>46400</v>
      </c>
    </row>
    <row r="13" spans="1:7" ht="15">
      <c r="A13" s="11" t="s">
        <v>17</v>
      </c>
      <c r="B13" s="12">
        <f aca="true" t="shared" si="3" ref="B13:G13">SUM(B14:B15)</f>
        <v>8075642.77</v>
      </c>
      <c r="C13" s="12">
        <f>C14+C15</f>
        <v>8285865.82</v>
      </c>
      <c r="D13" s="13">
        <f t="shared" si="3"/>
        <v>7883982.8932</v>
      </c>
      <c r="E13" s="13">
        <f t="shared" si="3"/>
        <v>7961158.55224839</v>
      </c>
      <c r="F13" s="13">
        <f t="shared" si="3"/>
        <v>8140557.477358725</v>
      </c>
      <c r="G13" s="14">
        <f t="shared" si="3"/>
        <v>8232714.424006356</v>
      </c>
    </row>
    <row r="14" spans="1:7" ht="15">
      <c r="A14" s="6" t="s">
        <v>18</v>
      </c>
      <c r="B14" s="61">
        <f>Kärdla!B14+Emmaste!B14+Kõrgesssaare!B14+Käina!B14+Pühalepa!B14+1!B14+2!B14+3!B14+4!B14+5!B14+6!C14+7!C14+8!B14</f>
        <v>716240.44</v>
      </c>
      <c r="C14" s="61">
        <f>Kärdla!C14+Emmaste!C14+Kõrgesssaare!C14+Käina!C14+Pühalepa!C14+1!C14+2!C14+3!C14+4!C14+5!C14+6!D14+7!D14+8!C14</f>
        <v>763581.48</v>
      </c>
      <c r="D14" s="61">
        <f>Kärdla!D14+Emmaste!D14+Kõrgesssaare!D14+Käina!D14+Pühalepa!D14+1!D14+2!D14+3!D14+4!D14+5!D14+6!E14+7!E14+8!D14</f>
        <v>583750</v>
      </c>
      <c r="E14" s="61">
        <f>Kärdla!E14+Emmaste!E14+Kõrgesssaare!E14+Käina!E14+Pühalepa!E14+1!E14+2!E14+3!E14+4!E14+5!E14+6!F14+7!F14+8!E14</f>
        <v>591052</v>
      </c>
      <c r="F14" s="61">
        <f>Kärdla!F14+Emmaste!F14+Kõrgesssaare!F14+Käina!F14+Pühalepa!F14+1!F14+2!F14+3!F14+4!F14+5!F14+6!G14+7!G14+8!F14</f>
        <v>583143</v>
      </c>
      <c r="G14" s="61">
        <f>Kärdla!G14+Emmaste!G14+Kõrgesssaare!G14+Käina!G14+Pühalepa!G14+1!G14+2!G14+3!G14+4!G14+5!G14+6!H14+7!H14+8!G14</f>
        <v>580238</v>
      </c>
    </row>
    <row r="15" spans="1:7" ht="15">
      <c r="A15" s="6" t="s">
        <v>19</v>
      </c>
      <c r="B15" s="61">
        <f>Kärdla!B15+Emmaste!B15+Kõrgesssaare!B15+Käina!B15+Pühalepa!B15+1!B15+2!B15+3!B15+4!B15+5!B15+6!C15+7!C15+8!B15</f>
        <v>7359402.33</v>
      </c>
      <c r="C15" s="61">
        <f>Kärdla!C15+Emmaste!C15+Kõrgesssaare!C15+Käina!C15+Pühalepa!C15+1!C15+2!C15+3!C15+4!C15+5!C15+6!D15+7!D15+8!C15</f>
        <v>7522284.340000001</v>
      </c>
      <c r="D15" s="61">
        <f>Kärdla!D15+Emmaste!D15+Kõrgesssaare!D15+Käina!D15+Pühalepa!D15+1!D15+2!D15+3!D15+4!D15+5!D15+6!E15+7!E15+8!D15</f>
        <v>7300232.8932</v>
      </c>
      <c r="E15" s="61">
        <f>Kärdla!E15+Emmaste!E15+Kõrgesssaare!E15+Käina!E15+Pühalepa!E15+1!E15+2!E15+3!E15+4!E15+5!E15+6!F15+7!F15+8!E15</f>
        <v>7370106.55224839</v>
      </c>
      <c r="F15" s="61">
        <f>Kärdla!F15+Emmaste!F15+Kõrgesssaare!F15+Käina!F15+Pühalepa!F15+1!F15+2!F15+3!F15+4!F15+5!F15+6!G15+7!G15+8!F15</f>
        <v>7557414.477358725</v>
      </c>
      <c r="G15" s="61">
        <f>Kärdla!G15+Emmaste!G15+Kõrgesssaare!G15+Käina!G15+Pühalepa!G15+1!G15+2!G15+3!G15+4!G15+5!G15+6!H15+7!H15+8!G15</f>
        <v>7652476.424006356</v>
      </c>
    </row>
    <row r="16" spans="1:7" ht="15">
      <c r="A16" s="6" t="s">
        <v>20</v>
      </c>
      <c r="B16" s="61">
        <f>Kärdla!B16+Emmaste!B16+Kõrgesssaare!B16+Käina!B16+Pühalepa!B16+1!B16+2!B16+3!B16+4!B16+5!B16+6!C16+7!C16+8!B16</f>
        <v>4404037.33</v>
      </c>
      <c r="C16" s="61">
        <f>Kärdla!C16+Emmaste!C16+Kõrgesssaare!C16+Käina!C16+Pühalepa!C16+1!C16+2!C16+3!C16+4!C16+5!C16+6!D16+7!D16+8!C16</f>
        <v>4339322.41</v>
      </c>
      <c r="D16" s="61">
        <f>Kärdla!D16+Emmaste!D16+Kõrgesssaare!D16+Käina!D16+Pühalepa!D16+1!D16+2!D16+3!D16+4!D16+5!D16+6!E16+7!E16+8!D16</f>
        <v>4397341</v>
      </c>
      <c r="E16" s="61">
        <f>Kärdla!E16+Emmaste!E16+Kõrgesssaare!E16+Käina!E16+Pühalepa!E16+1!E16+2!E16+3!E16+4!E16+5!E16+6!F16+7!F16+8!E16</f>
        <v>4446335.0600000005</v>
      </c>
      <c r="F16" s="61">
        <f>Kärdla!F16+Emmaste!F16+Kõrgesssaare!F16+Käina!F16+Pühalepa!F16+1!F16+2!F16+3!F16+4!F16+5!F16+6!G16+7!G16+8!F16</f>
        <v>4562829.751800001</v>
      </c>
      <c r="G16" s="61">
        <f>Kärdla!G16+Emmaste!G16+Kõrgesssaare!G16+Käina!G16+Pühalepa!G16+1!G16+2!G16+3!G16+4!G16+5!G16+6!H16+7!H16+8!G16</f>
        <v>4622133.284354</v>
      </c>
    </row>
    <row r="17" spans="1:7" ht="15">
      <c r="A17" s="6" t="s">
        <v>21</v>
      </c>
      <c r="B17" s="61">
        <f>Kärdla!B17+Emmaste!B17+Kõrgesssaare!B17+Käina!B17+Pühalepa!B17+1!B17+2!B17+3!B17+4!B17+5!B17+6!C17+7!C17+8!B17</f>
        <v>2927241.6799999997</v>
      </c>
      <c r="C17" s="61">
        <f>Kärdla!C17+Emmaste!C17+Kõrgesssaare!C17+Käina!C17+Pühalepa!C17+1!C17+2!C17+3!C17+4!C17+5!C17+6!D17+7!D17+8!C17</f>
        <v>3090657.89</v>
      </c>
      <c r="D17" s="61">
        <f>Kärdla!D17+Emmaste!D17+Kõrgesssaare!D17+Käina!D17+Pühalepa!D17+1!D17+2!D17+3!D17+4!D17+5!D17+6!E17+7!E17+8!D17</f>
        <v>2841835.236</v>
      </c>
      <c r="E17" s="61">
        <f>Kärdla!E17+Emmaste!E17+Kõrgesssaare!E17+Käina!E17+Pühalepa!E17+1!E17+2!E17+3!E17+4!E17+5!E17+6!F17+7!F17+8!E17</f>
        <v>2855046.76108</v>
      </c>
      <c r="F17" s="61">
        <f>Kärdla!F17+Emmaste!F17+Kõrgesssaare!F17+Käina!F17+Pühalepa!F17+1!F17+2!F17+3!F17+4!F17+5!F17+6!G17+7!G17+8!F17</f>
        <v>2923770.1624964</v>
      </c>
      <c r="G17" s="61">
        <f>Kärdla!G17+Emmaste!G17+Kõrgesssaare!G17+Käina!G17+Pühalepa!G17+1!G17+2!G17+3!G17+4!G17+5!G17+6!H17+7!H17+8!G17</f>
        <v>2957589.48656782</v>
      </c>
    </row>
    <row r="18" spans="1:7" ht="15">
      <c r="A18" s="15" t="s">
        <v>22</v>
      </c>
      <c r="B18" s="61">
        <f>Kärdla!B18+Emmaste!B18+Kõrgesssaare!B18+Käina!B18+Pühalepa!B18+1!B18+2!B18+3!B18+4!B18+5!B18+6!C18+7!C18+8!B18</f>
        <v>0</v>
      </c>
      <c r="C18" s="61">
        <f>Kärdla!C18+Emmaste!C18+Kõrgesssaare!C18+Käina!C18+Pühalepa!C18+1!C18+2!C18+3!C18+4!C18+5!C18+6!D18+7!D18+8!C18</f>
        <v>6236.92</v>
      </c>
      <c r="D18" s="61">
        <f>Kärdla!D18+Emmaste!D18+Kõrgesssaare!D18+Käina!D18+Pühalepa!D18+1!D18+2!D18+3!D18+4!D18+5!D18+6!E18+7!E18+8!D18</f>
        <v>6416.59</v>
      </c>
      <c r="E18" s="61">
        <f>Kärdla!E18+Emmaste!E18+Kõrgesssaare!E18+Käina!E18+Pühalepa!E18+1!E18+2!E18+3!E18+4!E18+5!E18+6!F18+7!F18+8!E18</f>
        <v>6437.4400000000005</v>
      </c>
      <c r="F18" s="61">
        <f>Kärdla!F18+Emmaste!F18+Kõrgesssaare!F18+Käina!F18+Pühalepa!F18+1!F18+2!F18+3!F18+4!F18+5!F18+6!G18+7!G18+8!F18</f>
        <v>6459.07</v>
      </c>
      <c r="G18" s="61">
        <f>Kärdla!G18+Emmaste!G18+Kõrgesssaare!G18+Käina!G18+Pühalepa!G18+1!G18+2!G18+3!G18+4!G18+5!G18+6!H18+7!H18+8!G18</f>
        <v>6481.55</v>
      </c>
    </row>
    <row r="19" spans="1:7" ht="15">
      <c r="A19" s="6" t="s">
        <v>23</v>
      </c>
      <c r="B19" s="61">
        <f>Kärdla!B19+Emmaste!B19+Kõrgesssaare!B19+Käina!B19+Pühalepa!B19+1!B19+2!B19+3!B19+4!B19+5!B19+6!C19+7!C19+8!B19</f>
        <v>28123.320000000003</v>
      </c>
      <c r="C19" s="61">
        <f>Kärdla!C19+Emmaste!C19+Kõrgesssaare!C19+Käina!C19+Pühalepa!C19+1!C19+2!C19+3!C19+4!C19+5!C19+6!D19+7!D19+8!C19</f>
        <v>92304.04000000001</v>
      </c>
      <c r="D19" s="61">
        <f>Kärdla!D19+Emmaste!D19+Kõrgesssaare!D19+Käina!D19+Pühalepa!D19+1!D19+2!D19+3!D19+4!D19+5!D19+6!E19+7!E19+8!D19</f>
        <v>61056.6572</v>
      </c>
      <c r="E19" s="61">
        <f>Kärdla!E19+Emmaste!E19+Kõrgesssaare!E19+Käina!E19+Pühalepa!E19+1!E19+2!E19+3!E19+4!E19+5!E19+6!F19+7!F19+8!E19</f>
        <v>68724.73116839072</v>
      </c>
      <c r="F19" s="61">
        <f>Kärdla!F19+Emmaste!F19+Kõrgesssaare!F19+Käina!F19+Pühalepa!F19+1!F19+2!F19+3!F19+4!F19+5!F19+6!G19+7!G19+8!F19</f>
        <v>70814.56306232543</v>
      </c>
      <c r="G19" s="61">
        <f>Kärdla!G19+Emmaste!G19+Kõrgesssaare!G19+Käina!G19+Pühalepa!G19+1!G19+2!G19+3!G19+4!G19+5!G19+6!H19+7!H19+8!G19</f>
        <v>72753.65308453534</v>
      </c>
    </row>
    <row r="20" spans="1:7" ht="15">
      <c r="A20" s="297" t="s">
        <v>24</v>
      </c>
      <c r="B20" s="298">
        <f aca="true" t="shared" si="4" ref="B20:G20">B2-B13</f>
        <v>686322.3499999996</v>
      </c>
      <c r="C20" s="299">
        <f t="shared" si="4"/>
        <v>556332</v>
      </c>
      <c r="D20" s="299">
        <f t="shared" si="4"/>
        <v>619665.0149816228</v>
      </c>
      <c r="E20" s="299">
        <f t="shared" si="4"/>
        <v>742302.2468400113</v>
      </c>
      <c r="F20" s="299">
        <f t="shared" si="4"/>
        <v>840395.4326231219</v>
      </c>
      <c r="G20" s="300">
        <f t="shared" si="4"/>
        <v>1022593.0059097148</v>
      </c>
    </row>
    <row r="21" spans="1:7" ht="15">
      <c r="A21" s="20" t="s">
        <v>25</v>
      </c>
      <c r="B21" s="17">
        <f aca="true" t="shared" si="5" ref="B21:G21">B22+B23+B25+B26+B27+B28+B29+B30+B31+B32</f>
        <v>-491814.95</v>
      </c>
      <c r="C21" s="17">
        <f>C22+C23+C25+C26+C27+C28+C29+C30+C31+C32</f>
        <v>-1069600.86</v>
      </c>
      <c r="D21" s="17">
        <f>D22+D23+D25+D26+D27+D28+D29+D30+D31+D32</f>
        <v>-1573811.54</v>
      </c>
      <c r="E21" s="17">
        <f t="shared" si="5"/>
        <v>-608984.96</v>
      </c>
      <c r="F21" s="17">
        <f t="shared" si="5"/>
        <v>-377169.02</v>
      </c>
      <c r="G21" s="19">
        <f t="shared" si="5"/>
        <v>-533758.6799999999</v>
      </c>
    </row>
    <row r="22" spans="1:7" ht="15">
      <c r="A22" s="21" t="s">
        <v>26</v>
      </c>
      <c r="B22" s="61">
        <f>Kärdla!B22+Emmaste!B22+Kõrgesssaare!B22+Käina!B22+Pühalepa!B22+1!B22+2!B22+3!B22+4!B22+5!B22+6!C22+7!C22+8!B22</f>
        <v>26054.58</v>
      </c>
      <c r="C22" s="61">
        <f>Kärdla!C22+Emmaste!C22+Kõrgesssaare!C22+Käina!C22+Pühalepa!C22+1!C22+2!C22+3!C22+4!C22+5!C22+6!D22+7!D22+8!C22</f>
        <v>14640</v>
      </c>
      <c r="D22" s="61">
        <f>Kärdla!D22+Emmaste!D22+Kõrgesssaare!D22+Käina!D22+Pühalepa!D22+1!D22+2!D22+3!D22+4!D22+5!D22+6!E22+7!E22+8!D22</f>
        <v>60000</v>
      </c>
      <c r="E22" s="61">
        <f>Kärdla!E22+Emmaste!E22+Kõrgesssaare!E22+Käina!E22+Pühalepa!E22+1!E22+2!E22+3!E22+4!E22+5!E22+6!F22+7!F22+8!E22</f>
        <v>15500</v>
      </c>
      <c r="F22" s="61">
        <f>Kärdla!F22+Emmaste!F22+Kõrgesssaare!F22+Käina!F22+Pühalepa!F22+1!F22+2!F22+3!F22+4!F22+5!F22+6!G22+7!G22+8!F22</f>
        <v>0</v>
      </c>
      <c r="G22" s="61">
        <f>Kärdla!G22+Emmaste!G22+Kõrgesssaare!G22+Käina!G22+Pühalepa!G22+1!G22+2!G22+3!G22+4!G22+5!G22+6!H22+7!H22+8!G22</f>
        <v>0</v>
      </c>
    </row>
    <row r="23" spans="1:7" ht="15">
      <c r="A23" s="21" t="s">
        <v>27</v>
      </c>
      <c r="B23" s="61">
        <f>Kärdla!B23+Emmaste!B23+Kõrgesssaare!B23+Käina!B23+Pühalepa!B23+1!B23+2!B23+3!B23+4!B23+5!B23+6!C23+7!C23+8!B23</f>
        <v>-2211425.5900000003</v>
      </c>
      <c r="C23" s="61">
        <f>Kärdla!C23+Emmaste!C23+Kõrgesssaare!C23+Käina!C23+Pühalepa!C23+1!C23+2!C23+3!C23+4!C23+5!C23+6!D23+7!D23+8!C23</f>
        <v>-1452081.09</v>
      </c>
      <c r="D23" s="61">
        <f>Kärdla!D23+Emmaste!D23+Kõrgesssaare!D23+Käina!D23+Pühalepa!D23+1!D23+2!D23+3!D23+4!D23+5!D23+6!E23+7!E23+8!D23</f>
        <v>-2146710</v>
      </c>
      <c r="E23" s="61">
        <f>Kärdla!E23+Emmaste!E23+Kõrgesssaare!E23+Käina!E23+Pühalepa!E23+1!E23+2!E23+3!E23+4!E23+5!E23+6!F23+7!F23+8!E23</f>
        <v>-2004527</v>
      </c>
      <c r="F23" s="61">
        <f>Kärdla!F23+Emmaste!F23+Kõrgesssaare!F23+Käina!F23+Pühalepa!F23+1!F23+2!F23+3!F23+4!F23+5!F23+6!G23+7!G23+8!F23</f>
        <v>-1319917</v>
      </c>
      <c r="G23" s="61">
        <f>Kärdla!G23+Emmaste!G23+Kõrgesssaare!G23+Käina!G23+Pühalepa!G23+1!G23+2!G23+3!G23+4!G23+5!G23+6!H23+7!H23+8!G23</f>
        <v>-974617</v>
      </c>
    </row>
    <row r="24" spans="1:7" ht="15">
      <c r="A24" s="22" t="s">
        <v>28</v>
      </c>
      <c r="B24" s="61">
        <f>Kärdla!B24+Emmaste!B24+Kõrgesssaare!B24+Käina!B24+Pühalepa!B24+1!B24+2!B24+3!B24+4!B24+5!B24+6!C24+7!C24+8!B24</f>
        <v>-74905</v>
      </c>
      <c r="C24" s="61">
        <f>Kärdla!C24+Emmaste!C24+Kõrgesssaare!C24+Käina!C24+Pühalepa!C24+1!C24+2!C24+3!C24+4!C24+5!C24+6!D24+7!D24+8!C24</f>
        <v>-438817.98</v>
      </c>
      <c r="D24" s="61">
        <f>Kärdla!D24+Emmaste!D24+Kõrgesssaare!D24+Käina!D24+Pühalepa!D24+1!D24+2!D24+3!D24+4!D24+5!D24+6!E24+7!E24+8!D24</f>
        <v>-554571</v>
      </c>
      <c r="E24" s="61">
        <f>Kärdla!E24+Emmaste!E24+Kõrgesssaare!E24+Käina!E24+Pühalepa!E24+1!E24+2!E24+3!E24+4!E24+5!E24+6!F24+7!F24+8!E24</f>
        <v>-531527</v>
      </c>
      <c r="F24" s="61">
        <f>Kärdla!F24+Emmaste!F24+Kõrgesssaare!F24+Käina!F24+Pühalepa!F24+1!F24+2!F24+3!F24+4!F24+5!F24+6!G24+7!G24+8!F24</f>
        <v>-276917</v>
      </c>
      <c r="G24" s="61">
        <f>Kärdla!G24+Emmaste!G24+Kõrgesssaare!G24+Käina!G24+Pühalepa!G24+1!G24+2!G24+3!G24+4!G24+5!G24+6!H24+7!H24+8!G24</f>
        <v>-431617</v>
      </c>
    </row>
    <row r="25" spans="1:7" ht="15">
      <c r="A25" s="23" t="s">
        <v>29</v>
      </c>
      <c r="B25" s="61">
        <f>Kärdla!B25+Emmaste!B25+Kõrgesssaare!B25+Käina!B25+Pühalepa!B25+1!B25+2!B25+3!B25+4!B25+5!B25+6!C25+7!C25+8!B25</f>
        <v>1814635.7000000002</v>
      </c>
      <c r="C25" s="61">
        <f>Kärdla!C25+Emmaste!C25+Kõrgesssaare!C25+Käina!C25+Pühalepa!C25+1!C25+2!C25+3!C25+4!C25+5!C25+6!D25+7!D25+8!C25</f>
        <v>1029640.23</v>
      </c>
      <c r="D25" s="61">
        <f>Kärdla!D25+Emmaste!D25+Kõrgesssaare!D25+Käina!D25+Pühalepa!D25+1!D25+2!D25+3!D25+4!D25+5!D25+6!E25+7!E25+8!D25</f>
        <v>3649970</v>
      </c>
      <c r="E25" s="61">
        <f>Kärdla!E25+Emmaste!E25+Kõrgesssaare!E25+Käina!E25+Pühalepa!E25+1!E25+2!E25+3!E25+4!E25+5!E25+6!F25+7!F25+8!E25</f>
        <v>1473000</v>
      </c>
      <c r="F25" s="61">
        <f>Kärdla!F25+Emmaste!F25+Kõrgesssaare!F25+Käina!F25+Pühalepa!F25+1!F25+2!F25+3!F25+4!F25+5!F25+6!G25+7!G25+8!F25</f>
        <v>1043000</v>
      </c>
      <c r="G25" s="61">
        <f>Kärdla!G25+Emmaste!G25+Kõrgesssaare!G25+Käina!G25+Pühalepa!G25+1!G25+2!G25+3!G25+4!G25+5!G25+6!H25+7!H25+8!G25</f>
        <v>543000</v>
      </c>
    </row>
    <row r="26" spans="1:7" ht="15">
      <c r="A26" s="21" t="s">
        <v>30</v>
      </c>
      <c r="B26" s="61">
        <f>Kärdla!B26+Emmaste!B26+Kõrgesssaare!B26+Käina!B26+Pühalepa!B26+1!B26+2!B26+3!B26+4!B26+5!B26+6!C26+7!C26+8!B26</f>
        <v>-61136.35</v>
      </c>
      <c r="C26" s="61">
        <f>Kärdla!C26+Emmaste!C26+Kõrgesssaare!C26+Käina!C26+Pühalepa!C26+1!C26+2!C26+3!C26+4!C26+5!C26+6!D26+7!D26+8!C26</f>
        <v>-590287</v>
      </c>
      <c r="D26" s="61">
        <f>Kärdla!D26+Emmaste!D26+Kõrgesssaare!D26+Käina!D26+Pühalepa!D26+1!D26+2!D26+3!D26+4!D26+5!D26+6!E26+7!E26+8!D26</f>
        <v>-3061694</v>
      </c>
      <c r="E26" s="61">
        <f>Kärdla!E26+Emmaste!E26+Kõrgesssaare!E26+Käina!E26+Pühalepa!E26+1!E26+2!E26+3!E26+4!E26+5!E26+6!F26+7!F26+8!E26</f>
        <v>0</v>
      </c>
      <c r="F26" s="61">
        <f>Kärdla!F26+Emmaste!F26+Kõrgesssaare!F26+Käina!F26+Pühalepa!F26+1!F26+2!F26+3!F26+4!F26+5!F26+6!G26+7!G26+8!F26</f>
        <v>-10000</v>
      </c>
      <c r="G26" s="61">
        <f>Kärdla!G26+Emmaste!G26+Kõrgesssaare!G26+Käina!G26+Pühalepa!G26+1!G26+2!G26+3!G26+4!G26+5!G26+6!H26+7!H26+8!G26</f>
        <v>-20000</v>
      </c>
    </row>
    <row r="27" spans="1:7" ht="15">
      <c r="A27" s="24" t="s">
        <v>31</v>
      </c>
      <c r="B27" s="61">
        <f>Kärdla!B27+Emmaste!B27+Kõrgesssaare!B27+Käina!B27+Pühalepa!B27+1!B27+2!B27+3!B27+4!B27+5!B27+6!C27+7!C27+8!B27</f>
        <v>0</v>
      </c>
      <c r="C27" s="61">
        <f>Kärdla!C27+Emmaste!C27+Kõrgesssaare!C27+Käina!C27+Pühalepa!C27+1!C27+2!C27+3!C27+4!C27+5!C27+6!D27+7!D27+8!C27</f>
        <v>0</v>
      </c>
      <c r="D27" s="61">
        <f>Kärdla!D27+Emmaste!D27+Kõrgesssaare!D27+Käina!D27+Pühalepa!D27+1!D27+2!D27+3!D27+4!D27+5!D27+6!E27+7!E27+8!D27</f>
        <v>0</v>
      </c>
      <c r="E27" s="61">
        <f>Kärdla!E27+Emmaste!E27+Kõrgesssaare!E27+Käina!E27+Pühalepa!E27+1!E27+2!E27+3!E27+4!E27+5!E27+6!F27+7!F27+8!E27</f>
        <v>0</v>
      </c>
      <c r="F27" s="61">
        <f>Kärdla!F27+Emmaste!F27+Kõrgesssaare!F27+Käina!F27+Pühalepa!F27+1!F27+2!F27+3!F27+4!F27+5!F27+6!G27+7!G27+8!F27</f>
        <v>0</v>
      </c>
      <c r="G27" s="61">
        <f>Kärdla!G27+Emmaste!G27+Kõrgesssaare!G27+Käina!G27+Pühalepa!G27+1!G27+2!G27+3!G27+4!G27+5!G27+6!H27+7!H27+8!G27</f>
        <v>0</v>
      </c>
    </row>
    <row r="28" spans="1:7" ht="15">
      <c r="A28" s="24" t="s">
        <v>32</v>
      </c>
      <c r="B28" s="61">
        <f>Kärdla!B28+Emmaste!B28+Kõrgesssaare!B28+Käina!B28+Pühalepa!B28+1!B28+2!B28+3!B28+4!B28+5!B28+6!C28+7!C28+8!B28</f>
        <v>-84.38</v>
      </c>
      <c r="C28" s="61">
        <f>Kärdla!C28+Emmaste!C28+Kõrgesssaare!C28+Käina!C28+Pühalepa!C28+1!C28+2!C28+3!C28+4!C28+5!C28+6!D28+7!D28+8!C28</f>
        <v>-10944</v>
      </c>
      <c r="D28" s="61">
        <f>Kärdla!D28+Emmaste!D28+Kõrgesssaare!D28+Käina!D28+Pühalepa!D28+1!D28+2!D28+3!D28+4!D28+5!D28+6!E28+7!E28+8!D28</f>
        <v>0</v>
      </c>
      <c r="E28" s="61">
        <f>Kärdla!E28+Emmaste!E28+Kõrgesssaare!E28+Käina!E28+Pühalepa!E28+1!E28+2!E28+3!E28+4!E28+5!E28+6!F28+7!F28+8!E28</f>
        <v>0</v>
      </c>
      <c r="F28" s="61">
        <f>Kärdla!F28+Emmaste!F28+Kõrgesssaare!F28+Käina!F28+Pühalepa!F28+1!F28+2!F28+3!F28+4!F28+5!F28+6!G28+7!G28+8!F28</f>
        <v>0</v>
      </c>
      <c r="G28" s="61">
        <f>Kärdla!G28+Emmaste!G28+Kõrgesssaare!G28+Käina!G28+Pühalepa!G28+1!G28+2!G28+3!G28+4!G28+5!G28+6!H28+7!H28+8!G28</f>
        <v>0</v>
      </c>
    </row>
    <row r="29" spans="1:7" ht="15">
      <c r="A29" s="25" t="s">
        <v>33</v>
      </c>
      <c r="B29" s="61">
        <f>Kärdla!B29+Emmaste!B29+Kõrgesssaare!B29+Käina!B29+Pühalepa!B29+1!B29+2!B29+3!B29+4!B29+5!B29+6!C29+7!C29+8!B29</f>
        <v>0</v>
      </c>
      <c r="C29" s="61">
        <f>Kärdla!C29+Emmaste!C29+Kõrgesssaare!C29+Käina!C29+Pühalepa!C29+1!C29+2!C29+3!C29+4!C29+5!C29+6!D29+7!D29+8!C29</f>
        <v>0</v>
      </c>
      <c r="D29" s="61">
        <f>Kärdla!D29+Emmaste!D29+Kõrgesssaare!D29+Käina!D29+Pühalepa!D29+1!D29+2!D29+3!D29+4!D29+5!D29+6!E29+7!E29+8!D29</f>
        <v>0</v>
      </c>
      <c r="E29" s="61">
        <f>Kärdla!E29+Emmaste!E29+Kõrgesssaare!E29+Käina!E29+Pühalepa!E29+1!E29+2!E29+3!E29+4!E29+5!E29+6!F29+7!F29+8!E29</f>
        <v>0</v>
      </c>
      <c r="F29" s="61">
        <f>Kärdla!F29+Emmaste!F29+Kõrgesssaare!F29+Käina!F29+Pühalepa!F29+1!F29+2!F29+3!F29+4!F29+5!F29+6!G29+7!G29+8!F29</f>
        <v>0</v>
      </c>
      <c r="G29" s="61">
        <f>Kärdla!G29+Emmaste!G29+Kõrgesssaare!G29+Käina!G29+Pühalepa!G29+1!G29+2!G29+3!G29+4!G29+5!G29+6!H29+7!H29+8!G29</f>
        <v>0</v>
      </c>
    </row>
    <row r="30" spans="1:7" ht="15">
      <c r="A30" s="26" t="s">
        <v>34</v>
      </c>
      <c r="B30" s="61">
        <f>Kärdla!B30+Emmaste!B30+Kõrgesssaare!B30+Käina!B30+Pühalepa!B30+1!B30+2!B30+3!B30+4!B30+5!B30+6!C30+7!C30+8!B30</f>
        <v>0</v>
      </c>
      <c r="C30" s="61">
        <f>Kärdla!C30+Emmaste!C30+Kõrgesssaare!C30+Käina!C30+Pühalepa!C30+1!C30+2!C30+3!C30+4!C30+5!C30+6!D30+7!D30+8!C30</f>
        <v>0</v>
      </c>
      <c r="D30" s="61">
        <f>Kärdla!D30+Emmaste!D30+Kõrgesssaare!D30+Käina!D30+Pühalepa!D30+1!D30+2!D30+3!D30+4!D30+5!D30+6!E30+7!E30+8!D30</f>
        <v>0</v>
      </c>
      <c r="E30" s="61">
        <f>Kärdla!E30+Emmaste!E30+Kõrgesssaare!E30+Käina!E30+Pühalepa!E30+1!E30+2!E30+3!E30+4!E30+5!E30+6!F30+7!F30+8!E30</f>
        <v>0</v>
      </c>
      <c r="F30" s="61">
        <f>Kärdla!F30+Emmaste!F30+Kõrgesssaare!F30+Käina!F30+Pühalepa!F30+1!F30+2!F30+3!F30+4!F30+5!F30+6!G30+7!G30+8!F30</f>
        <v>0</v>
      </c>
      <c r="G30" s="61">
        <f>Kärdla!G30+Emmaste!G30+Kõrgesssaare!G30+Käina!G30+Pühalepa!G30+1!G30+2!G30+3!G30+4!G30+5!G30+6!H30+7!H30+8!G30</f>
        <v>0</v>
      </c>
    </row>
    <row r="31" spans="1:7" ht="15">
      <c r="A31" s="27" t="s">
        <v>35</v>
      </c>
      <c r="B31" s="61">
        <f>Kärdla!B31+Emmaste!B31+Kõrgesssaare!B31+Käina!B31+Pühalepa!B31+1!B31+2!B31+3!B31+4!B31+5!B31+6!C31+7!C31+8!B31</f>
        <v>768.1500000000001</v>
      </c>
      <c r="C31" s="61">
        <f>Kärdla!C31+Emmaste!C31+Kõrgesssaare!C31+Käina!C31+Pühalepa!C31+1!C31+2!C31+3!C31+4!C31+5!C31+6!D31+7!D31+8!C31</f>
        <v>1610</v>
      </c>
      <c r="D31" s="61">
        <f>Kärdla!D31+Emmaste!D31+Kõrgesssaare!D31+Käina!D31+Pühalepa!D31+1!D31+2!D31+3!D31+4!D31+5!D31+6!E31+7!E31+8!D31</f>
        <v>820</v>
      </c>
      <c r="E31" s="61">
        <f>Kärdla!E31+Emmaste!E31+Kõrgesssaare!E31+Käina!E31+Pühalepa!E31+1!E31+2!E31+3!E31+4!E31+5!E31+6!F31+7!F31+8!E31</f>
        <v>850</v>
      </c>
      <c r="F31" s="61">
        <f>Kärdla!F31+Emmaste!F31+Kõrgesssaare!F31+Käina!F31+Pühalepa!F31+1!F31+2!F31+3!F31+4!F31+5!F31+6!G31+7!G31+8!F31</f>
        <v>870</v>
      </c>
      <c r="G31" s="61">
        <f>Kärdla!G31+Emmaste!G31+Kõrgesssaare!G31+Käina!G31+Pühalepa!G31+1!G31+2!G31+3!G31+4!G31+5!G31+6!H31+7!H31+8!G31</f>
        <v>900</v>
      </c>
    </row>
    <row r="32" spans="1:7" ht="15">
      <c r="A32" s="27" t="s">
        <v>36</v>
      </c>
      <c r="B32" s="61">
        <f>Kärdla!B32+Emmaste!B32+Kõrgesssaare!B32+Käina!B32+Pühalepa!B32+1!B32+2!B32+3!B32+4!B32+5!B32+6!C32+7!C32+8!B32</f>
        <v>-60627.06</v>
      </c>
      <c r="C32" s="61">
        <f>Kärdla!C32+Emmaste!C32+Kõrgesssaare!C32+Käina!C32+Pühalepa!C32+1!C32+2!C32+3!C32+4!C32+5!C32+6!D32+7!D32+8!C32</f>
        <v>-62179</v>
      </c>
      <c r="D32" s="61">
        <f>Kärdla!D32+Emmaste!D32+Kõrgesssaare!D32+Käina!D32+Pühalepa!D32+1!D32+2!D32+3!D32+4!D32+5!D32+6!E32+7!E32+8!D32</f>
        <v>-76197.54</v>
      </c>
      <c r="E32" s="61">
        <f>Kärdla!E32+Emmaste!E32+Kõrgesssaare!E32+Käina!E32+Pühalepa!E32+1!E32+2!E32+3!E32+4!E32+5!E32+6!F32+7!F32+8!E32</f>
        <v>-93807.95999999999</v>
      </c>
      <c r="F32" s="61">
        <f>Kärdla!F32+Emmaste!F32+Kõrgesssaare!F32+Käina!F32+Pühalepa!F32+1!F32+2!F32+3!F32+4!F32+5!F32+6!G32+7!G32+8!F32</f>
        <v>-91122.02</v>
      </c>
      <c r="G32" s="61">
        <f>Kärdla!G32+Emmaste!G32+Kõrgesssaare!G32+Käina!G32+Pühalepa!G32+1!G32+2!G32+3!G32+4!G32+5!G32+6!H32+7!H32+8!G32</f>
        <v>-83041.68</v>
      </c>
    </row>
    <row r="33" spans="1:7" ht="15">
      <c r="A33" s="28" t="s">
        <v>37</v>
      </c>
      <c r="B33" s="17">
        <f aca="true" t="shared" si="6" ref="B33:G33">B20+B21</f>
        <v>194507.39999999962</v>
      </c>
      <c r="C33" s="18">
        <f t="shared" si="6"/>
        <v>-513268.8600000001</v>
      </c>
      <c r="D33" s="18">
        <f>D20+D21</f>
        <v>-954146.5250183772</v>
      </c>
      <c r="E33" s="18">
        <f t="shared" si="6"/>
        <v>133317.28684001137</v>
      </c>
      <c r="F33" s="18">
        <f t="shared" si="6"/>
        <v>463226.41262312187</v>
      </c>
      <c r="G33" s="19">
        <f t="shared" si="6"/>
        <v>488834.3259097149</v>
      </c>
    </row>
    <row r="34" spans="1:7" ht="15">
      <c r="A34" s="28" t="s">
        <v>38</v>
      </c>
      <c r="B34" s="17">
        <f aca="true" t="shared" si="7" ref="B34:G34">B35+B36</f>
        <v>-358231.64</v>
      </c>
      <c r="C34" s="18">
        <f t="shared" si="7"/>
        <v>379186</v>
      </c>
      <c r="D34" s="18">
        <f t="shared" si="7"/>
        <v>878247.04</v>
      </c>
      <c r="E34" s="18">
        <f t="shared" si="7"/>
        <v>-111722.07</v>
      </c>
      <c r="F34" s="18">
        <f t="shared" si="7"/>
        <v>-408473.4</v>
      </c>
      <c r="G34" s="19">
        <f t="shared" si="7"/>
        <v>-412109.4</v>
      </c>
    </row>
    <row r="35" spans="1:7" ht="15">
      <c r="A35" s="29" t="s">
        <v>39</v>
      </c>
      <c r="B35" s="61">
        <f>Kärdla!B35+Emmaste!B35+Kõrgesssaare!B35+Käina!B35+Pühalepa!B35+1!B35+2!B35+3!B35+4!B35+5!B35+6!C35+7!C35+8!B35</f>
        <v>181827</v>
      </c>
      <c r="C35" s="61">
        <f>Kärdla!C35+Emmaste!C35+Kõrgesssaare!C35+Käina!C35+Pühalepa!C35+1!C35+2!C35+3!C35+4!C35+5!C35+6!D35+7!D35+8!C35</f>
        <v>822445</v>
      </c>
      <c r="D35" s="61">
        <f>Kärdla!D35+Emmaste!D35+Kõrgesssaare!D35+Käina!D35+Pühalepa!D35+1!D35+2!D35+3!D35+4!D35+5!D35+6!E35+7!E35+8!D35</f>
        <v>1737918.26</v>
      </c>
      <c r="E35" s="61">
        <f>Kärdla!E35+Emmaste!E35+Kõrgesssaare!E35+Käina!E35+Pühalepa!E35+1!E35+2!E35+3!E35+4!E35+5!E35+6!F35+7!F35+8!E35</f>
        <v>340000</v>
      </c>
      <c r="F35" s="61">
        <f>Kärdla!F35+Emmaste!F35+Kõrgesssaare!F35+Käina!F35+Pühalepa!F35+1!F35+2!F35+3!F35+4!F35+5!F35+6!G35+7!G35+8!F35</f>
        <v>150000</v>
      </c>
      <c r="G35" s="61">
        <f>Kärdla!G35+Emmaste!G35+Kõrgesssaare!G35+Käina!G35+Pühalepa!G35+1!G35+2!G35+3!G35+4!G35+5!G35+6!H35+7!H35+8!G35</f>
        <v>250000</v>
      </c>
    </row>
    <row r="36" spans="1:7" ht="15">
      <c r="A36" s="29" t="s">
        <v>40</v>
      </c>
      <c r="B36" s="61">
        <f>Kärdla!B36+Emmaste!B36+Kõrgesssaare!B36+Käina!B36+Pühalepa!B36+1!B36+2!B36+3!B36+4!B36+5!B36+6!C36+7!C36+8!B36</f>
        <v>-540058.64</v>
      </c>
      <c r="C36" s="61">
        <f>Kärdla!C36+Emmaste!C36+Kõrgesssaare!C36+Käina!C36+Pühalepa!C36+1!C36+2!C36+3!C36+4!C36+5!C36+6!D36+7!D36+8!C36</f>
        <v>-443259</v>
      </c>
      <c r="D36" s="61">
        <f>Kärdla!D36+Emmaste!D36+Kõrgesssaare!D36+Käina!D36+Pühalepa!D36+1!D36+2!D36+3!D36+4!D36+5!D36+6!E36+7!E36+8!D36</f>
        <v>-859671.22</v>
      </c>
      <c r="E36" s="61">
        <f>Kärdla!E36+Emmaste!E36+Kõrgesssaare!E36+Käina!E36+Pühalepa!E36+1!E36+2!E36+3!E36+4!E36+5!E36+6!F36+7!F36+8!E36</f>
        <v>-451722.07</v>
      </c>
      <c r="F36" s="61">
        <f>Kärdla!F36+Emmaste!F36+Kõrgesssaare!F36+Käina!F36+Pühalepa!F36+1!F36+2!F36+3!F36+4!F36+5!F36+6!G36+7!G36+8!F36</f>
        <v>-558473.4</v>
      </c>
      <c r="G36" s="61">
        <f>Kärdla!G36+Emmaste!G36+Kõrgesssaare!G36+Käina!G36+Pühalepa!G36+1!G36+2!G36+3!G36+4!G36+5!G36+6!H36+7!H36+8!G36</f>
        <v>-662109.4</v>
      </c>
    </row>
    <row r="37" spans="1:7" ht="26.25">
      <c r="A37" s="30" t="s">
        <v>41</v>
      </c>
      <c r="B37" s="61">
        <f>Kärdla!B37+Emmaste!B37+Kõrgesssaare!B37+Käina!B37+Pühalepa!B37+1!B37+2!B37+3!B37+4!B37+5!B37+6!C37+7!C37+8!B37</f>
        <v>-163724.24000000002</v>
      </c>
      <c r="C37" s="61">
        <f>Kärdla!C37+Emmaste!C37+Kõrgesssaare!C37+Käina!C37+Pühalepa!C37+1!C37+2!C37+3!C37+4!C37+5!C37+6!D37+7!D37+8!C37</f>
        <v>-134082.86</v>
      </c>
      <c r="D37" s="61">
        <f>Kärdla!D37+Emmaste!D37+Kõrgesssaare!D37+Käina!D37+Pühalepa!D37+1!D37+2!D37+3!D37+4!D37+5!D37+6!E37+7!E37+8!D37</f>
        <v>-75899.48163031577</v>
      </c>
      <c r="E37" s="61">
        <f>Kärdla!E37+Emmaste!E37+Kõrgesssaare!E37+Käina!E37+Pühalepa!E37+1!E37+2!E37+3!E37+4!E37+5!E37+6!F37+7!F37+8!E37</f>
        <v>21595.40385333239</v>
      </c>
      <c r="F37" s="61">
        <f>Kärdla!F37+Emmaste!F37+Kõrgesssaare!F37+Käina!F37+Pühalepa!F37+1!F37+2!F37+3!F37+4!F37+5!F37+6!G37+7!G37+8!F37</f>
        <v>54753.417001424124</v>
      </c>
      <c r="G37" s="61">
        <f>Kärdla!G37+Emmaste!G37+Kõrgesssaare!G37+Käina!G37+Pühalepa!G37+1!G37+2!G37+3!G37+4!G37+5!G37+6!H37+7!H37+8!G37</f>
        <v>76724.6779922219</v>
      </c>
    </row>
    <row r="38" spans="1:7" ht="39">
      <c r="A38" s="30" t="s">
        <v>42</v>
      </c>
      <c r="B38" s="61">
        <f>Kärdla!B38+Emmaste!B38+Kõrgesssaare!B38+Käina!B38+Pühalepa!B38+1!B38+2!B38+3!B38+4!B38+5!B38+6!C38+7!C38+8!B38</f>
        <v>0</v>
      </c>
      <c r="C38" s="61">
        <f>Kärdla!C38+Emmaste!C38+Kõrgesssaare!C38+Käina!C38+Pühalepa!C38+1!C38+2!C38+3!C38+4!C38+5!C38+6!D38+7!D38+8!C38</f>
        <v>0</v>
      </c>
      <c r="D38" s="61">
        <f>Kärdla!D38+Emmaste!D38+Kõrgesssaare!D38+Käina!D38+Pühalepa!D38+1!D38+2!D38+3!D38+4!D38+5!D38+6!E38+7!E38+8!D38</f>
        <v>0</v>
      </c>
      <c r="E38" s="61">
        <f>Kärdla!E38+Emmaste!E38+Kõrgesssaare!E38+Käina!E38+Pühalepa!E38+1!E38+2!E38+3!E38+4!E38+5!E38+6!F38+7!F38+8!E38</f>
        <v>0</v>
      </c>
      <c r="F38" s="61">
        <f>Kärdla!F38+Emmaste!F38+Kõrgesssaare!F38+Käina!F38+Pühalepa!F38+1!F38+2!F38+3!F38+4!F38+5!F38+6!G38+7!G38+8!F38</f>
        <v>0</v>
      </c>
      <c r="G38" s="61">
        <f>Kärdla!G38+Emmaste!G38+Kõrgesssaare!G38+Käina!G38+Pühalepa!G38+1!G38+2!G38+3!G38+4!G38+5!G38+6!H38+7!H38+8!G38</f>
        <v>0</v>
      </c>
    </row>
    <row r="39" spans="1:7" ht="15">
      <c r="A39" s="31"/>
      <c r="B39" s="32"/>
      <c r="C39" s="32"/>
      <c r="D39" s="33"/>
      <c r="E39" s="33"/>
      <c r="F39" s="33"/>
      <c r="G39" s="34"/>
    </row>
    <row r="40" spans="1:7" ht="15">
      <c r="A40" s="35" t="s">
        <v>43</v>
      </c>
      <c r="B40" s="61">
        <f>Kärdla!B40+Emmaste!B40+Kõrgesssaare!B40+Käina!B40+Pühalepa!B40+1!B40+2!B40+3!B40+4!B40+5!B40+6!C40+7!C40+8!B40</f>
        <v>436107.52</v>
      </c>
      <c r="C40" s="36">
        <f>B40+C37</f>
        <v>302024.66000000003</v>
      </c>
      <c r="D40" s="37">
        <f>C40+D37</f>
        <v>226125.17836968426</v>
      </c>
      <c r="E40" s="38">
        <f>D40+E37</f>
        <v>247720.58222301665</v>
      </c>
      <c r="F40" s="39">
        <f>E40+F37</f>
        <v>302473.9992244408</v>
      </c>
      <c r="G40" s="40">
        <f>F40+G37</f>
        <v>379198.6772166627</v>
      </c>
    </row>
    <row r="41" spans="1:7" ht="15">
      <c r="A41" s="41" t="s">
        <v>44</v>
      </c>
      <c r="B41" s="61">
        <f>Kärdla!B41+Emmaste!B41+Kõrgesssaare!B41+Käina!B41+Pühalepa!B41+1!B41+2!B41+3!B41+4!B41+5!B41+6!C41+7!C41+8!B41</f>
        <v>2232093.5500000003</v>
      </c>
      <c r="C41" s="61">
        <f>Kärdla!C41+Emmaste!C41+Kõrgesssaare!C41+Käina!C41+Pühalepa!C41+1!C41+2!C41+3!C41+4!C41+5!C41+6!D41+7!D41+8!C41</f>
        <v>2611279.5500000003</v>
      </c>
      <c r="D41" s="9">
        <f>C41+D34</f>
        <v>3489526.5900000003</v>
      </c>
      <c r="E41" s="9">
        <f>D41+E34</f>
        <v>3377804.5200000005</v>
      </c>
      <c r="F41" s="9">
        <f>E41+F34</f>
        <v>2969331.1200000006</v>
      </c>
      <c r="G41" s="9">
        <f>F41+G34</f>
        <v>2557221.7200000007</v>
      </c>
    </row>
    <row r="42" spans="1:7" ht="15">
      <c r="A42" s="42" t="s">
        <v>45</v>
      </c>
      <c r="B42" s="61">
        <f>Kärdla!B42+Emmaste!B42+Kõrgesssaare!B42+Käina!B42+Pühalepa!B42+1!B42+2!B42+3!B42+4!B42+5!B42+6!C42+7!C42+8!B42</f>
        <v>0</v>
      </c>
      <c r="C42" s="61">
        <f>Kärdla!C42+Emmaste!C42+Kõrgesssaare!C42+Käina!C42+Pühalepa!C42+1!C42+2!C42+3!C42+4!C42+5!C42+6!D42+7!D42+8!C42</f>
        <v>0</v>
      </c>
      <c r="D42" s="61">
        <f>Kärdla!D42+Emmaste!D42+Kõrgesssaare!D42+Käina!D42+Pühalepa!D42+1!D42+2!D42+3!D42+4!D42+5!D42+6!E42+7!E42+8!D42</f>
        <v>0</v>
      </c>
      <c r="E42" s="61">
        <f>Kärdla!E42+Emmaste!E42+Kõrgesssaare!E42+Käina!E42+Pühalepa!E42+1!E42+2!E42+3!E42+4!E42+5!E42+6!F42+7!F42+8!E42</f>
        <v>0</v>
      </c>
      <c r="F42" s="61">
        <f>Kärdla!F42+Emmaste!F42+Kõrgesssaare!F42+Käina!F42+Pühalepa!F42+1!F42+2!F42+3!F42+4!F42+5!F42+6!G42+7!G42+8!F42</f>
        <v>0</v>
      </c>
      <c r="G42" s="61">
        <f>Kärdla!G42+Emmaste!G42+Kõrgesssaare!G42+Käina!G42+Pühalepa!G42+1!G42+2!G42+3!G42+4!G42+5!G42+6!H42+7!H42+8!G42</f>
        <v>0</v>
      </c>
    </row>
    <row r="43" spans="1:7" ht="15">
      <c r="A43" s="43" t="s">
        <v>46</v>
      </c>
      <c r="B43" s="10">
        <f aca="true" t="shared" si="8" ref="B43:G43">IF(B41-B40&lt;0,0,B41-B40)</f>
        <v>1795986.0300000003</v>
      </c>
      <c r="C43" s="10">
        <f t="shared" si="8"/>
        <v>2309254.89</v>
      </c>
      <c r="D43" s="10">
        <f t="shared" si="8"/>
        <v>3263401.411630316</v>
      </c>
      <c r="E43" s="10">
        <f t="shared" si="8"/>
        <v>3130083.9377769837</v>
      </c>
      <c r="F43" s="10">
        <f t="shared" si="8"/>
        <v>2666857.12077556</v>
      </c>
      <c r="G43" s="8">
        <f t="shared" si="8"/>
        <v>2178023.042783338</v>
      </c>
    </row>
    <row r="44" spans="1:7" ht="15">
      <c r="A44" s="43" t="s">
        <v>47</v>
      </c>
      <c r="B44" s="44">
        <f aca="true" t="shared" si="9" ref="B44:G44">B43/B2</f>
        <v>0.2049752544552472</v>
      </c>
      <c r="C44" s="45">
        <f t="shared" si="9"/>
        <v>0.2611629978212815</v>
      </c>
      <c r="D44" s="45">
        <f t="shared" si="9"/>
        <v>0.3837648791279913</v>
      </c>
      <c r="E44" s="45">
        <f t="shared" si="9"/>
        <v>0.35963670200075215</v>
      </c>
      <c r="F44" s="45">
        <f t="shared" si="9"/>
        <v>0.2969458973347351</v>
      </c>
      <c r="G44" s="46">
        <f t="shared" si="9"/>
        <v>0.2353269255803736</v>
      </c>
    </row>
    <row r="45" spans="1:7" ht="15">
      <c r="A45" s="43" t="s">
        <v>48</v>
      </c>
      <c r="B45" s="10">
        <f aca="true" t="shared" si="10" ref="B45:G45">IF((B20+B18)*6&gt;B2,B2+B42,IF((B20+B18)*6&lt;0.6*B2,0.6*B2+B42,(B20+B18)*6+B42))</f>
        <v>5257179.072</v>
      </c>
      <c r="C45" s="10">
        <f t="shared" si="10"/>
        <v>5305318.692</v>
      </c>
      <c r="D45" s="10">
        <f t="shared" si="10"/>
        <v>5102188.744908974</v>
      </c>
      <c r="E45" s="10">
        <f t="shared" si="10"/>
        <v>5222076.479453041</v>
      </c>
      <c r="F45" s="10">
        <f t="shared" si="10"/>
        <v>5388571.7459891075</v>
      </c>
      <c r="G45" s="8">
        <f t="shared" si="10"/>
        <v>6174447.33545829</v>
      </c>
    </row>
    <row r="46" spans="1:7" ht="15">
      <c r="A46" s="43" t="s">
        <v>49</v>
      </c>
      <c r="B46" s="44">
        <f aca="true" t="shared" si="11" ref="B46:G46">B45/B2</f>
        <v>0.6</v>
      </c>
      <c r="C46" s="45">
        <f t="shared" si="11"/>
        <v>0.6</v>
      </c>
      <c r="D46" s="45">
        <f t="shared" si="11"/>
        <v>0.6</v>
      </c>
      <c r="E46" s="45">
        <f t="shared" si="11"/>
        <v>0.6</v>
      </c>
      <c r="F46" s="45">
        <f t="shared" si="11"/>
        <v>0.6</v>
      </c>
      <c r="G46" s="46">
        <f t="shared" si="11"/>
        <v>0.6671250395746477</v>
      </c>
    </row>
    <row r="47" spans="1:7" ht="15">
      <c r="A47" s="43" t="s">
        <v>50</v>
      </c>
      <c r="B47" s="10">
        <f aca="true" t="shared" si="12" ref="B47:G47">B45-B43</f>
        <v>3461193.0419999994</v>
      </c>
      <c r="C47" s="7">
        <f t="shared" si="12"/>
        <v>2996063.8019999997</v>
      </c>
      <c r="D47" s="7">
        <f t="shared" si="12"/>
        <v>1838787.3332786574</v>
      </c>
      <c r="E47" s="7">
        <f t="shared" si="12"/>
        <v>2091992.5416760575</v>
      </c>
      <c r="F47" s="7">
        <f t="shared" si="12"/>
        <v>2721714.6252135476</v>
      </c>
      <c r="G47" s="8">
        <f t="shared" si="12"/>
        <v>3996424.2926749517</v>
      </c>
    </row>
    <row r="48" spans="1:7" ht="15">
      <c r="A48" s="47"/>
      <c r="B48" s="48"/>
      <c r="C48" s="49"/>
      <c r="D48" s="49"/>
      <c r="E48" s="49"/>
      <c r="F48" s="49"/>
      <c r="G48" s="50"/>
    </row>
    <row r="49" spans="1:7" ht="15.75" thickBot="1">
      <c r="A49" s="51" t="s">
        <v>51</v>
      </c>
      <c r="B49" s="52">
        <f aca="true" t="shared" si="13" ref="B49:G49">B33+B34-B37+B38</f>
        <v>-3.7834979593753815E-10</v>
      </c>
      <c r="C49" s="52">
        <f>C33+C34-C37+C38</f>
        <v>-1.1641532182693481E-10</v>
      </c>
      <c r="D49" s="52">
        <f>D33+D34-D37+D38</f>
        <v>-0.003388061420992017</v>
      </c>
      <c r="E49" s="52">
        <f t="shared" si="13"/>
        <v>-0.18701332103228197</v>
      </c>
      <c r="F49" s="52">
        <f t="shared" si="13"/>
        <v>-0.40437830227892846</v>
      </c>
      <c r="G49" s="53">
        <f t="shared" si="13"/>
        <v>0.24791749299038202</v>
      </c>
    </row>
    <row r="50" spans="1:7" ht="15">
      <c r="A50" s="54"/>
      <c r="B50" s="55"/>
      <c r="C50" s="55"/>
      <c r="D50" s="55"/>
      <c r="E50" s="55"/>
      <c r="F50" s="55"/>
      <c r="G50" s="55"/>
    </row>
    <row r="51" spans="1:7" ht="15">
      <c r="A51" s="56" t="s">
        <v>52</v>
      </c>
      <c r="B51" s="57" t="s">
        <v>53</v>
      </c>
      <c r="C51" s="58">
        <f>C2/B2-1</f>
        <v>0.00915692985547989</v>
      </c>
      <c r="D51" s="58">
        <f>D2/C2-1</f>
        <v>-0.03828798209565254</v>
      </c>
      <c r="E51" s="58">
        <f>E2/D2-1</f>
        <v>0.023497314689444382</v>
      </c>
      <c r="F51" s="58">
        <f>F2/E2-1</f>
        <v>0.03188296211117647</v>
      </c>
      <c r="G51" s="58">
        <f>G2/F2-1</f>
        <v>0.030548486634340843</v>
      </c>
    </row>
    <row r="52" spans="1:7" ht="15">
      <c r="A52" s="56" t="s">
        <v>54</v>
      </c>
      <c r="B52" s="57" t="s">
        <v>53</v>
      </c>
      <c r="C52" s="58">
        <f>C13/B13-1</f>
        <v>0.02603174211481374</v>
      </c>
      <c r="D52" s="58">
        <f>D13/C13-1</f>
        <v>-0.048502224816380224</v>
      </c>
      <c r="E52" s="58">
        <f>E13/D13-1</f>
        <v>0.009788917618651194</v>
      </c>
      <c r="F52" s="58">
        <f>F13/E13-1</f>
        <v>0.022534273615197442</v>
      </c>
      <c r="G52" s="58">
        <f>G13/F13-1</f>
        <v>0.011320716904701822</v>
      </c>
    </row>
    <row r="53" spans="1:7" ht="15">
      <c r="A53" s="56" t="s">
        <v>55</v>
      </c>
      <c r="B53" s="59">
        <f aca="true" t="shared" si="14" ref="B53:G53">B2/B13</f>
        <v>1.0849867149336523</v>
      </c>
      <c r="C53" s="59">
        <f t="shared" si="14"/>
        <v>1.067142289301518</v>
      </c>
      <c r="D53" s="59">
        <f t="shared" si="14"/>
        <v>1.078597965441565</v>
      </c>
      <c r="E53" s="59">
        <f t="shared" si="14"/>
        <v>1.093240480260297</v>
      </c>
      <c r="F53" s="59">
        <f t="shared" si="14"/>
        <v>1.1032356119295894</v>
      </c>
      <c r="G53" s="59">
        <f t="shared" si="14"/>
        <v>1.1242109167454981</v>
      </c>
    </row>
  </sheetData>
  <sheetProtection/>
  <conditionalFormatting sqref="B47:G47 C20">
    <cfRule type="cellIs" priority="1" dxfId="10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87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G35" sqref="G35"/>
    </sheetView>
  </sheetViews>
  <sheetFormatPr defaultColWidth="9.140625" defaultRowHeight="15"/>
  <cols>
    <col min="1" max="1" width="44.140625" style="0" customWidth="1"/>
    <col min="2" max="2" width="9.00390625" style="0" customWidth="1"/>
    <col min="3" max="3" width="9.421875" style="0" customWidth="1"/>
    <col min="4" max="4" width="9.28125" style="0" customWidth="1"/>
    <col min="5" max="6" width="9.140625" style="0" customWidth="1"/>
    <col min="7" max="7" width="9.57421875" style="0" customWidth="1"/>
    <col min="8" max="8" width="36.140625" style="0" customWidth="1"/>
    <col min="9" max="9" width="25.57421875" style="0" customWidth="1"/>
    <col min="10" max="10" width="49.57421875" style="0" customWidth="1"/>
  </cols>
  <sheetData>
    <row r="1" ht="48" customHeight="1" thickBot="1">
      <c r="A1" s="1" t="s">
        <v>56</v>
      </c>
    </row>
    <row r="2" ht="15" customHeight="1">
      <c r="A2" s="3" t="s">
        <v>6</v>
      </c>
    </row>
    <row r="3" ht="15">
      <c r="A3" s="6" t="s">
        <v>7</v>
      </c>
    </row>
    <row r="4" ht="15">
      <c r="A4" s="6" t="s">
        <v>8</v>
      </c>
    </row>
    <row r="5" ht="15">
      <c r="A5" s="6" t="s">
        <v>9</v>
      </c>
    </row>
    <row r="6" ht="15">
      <c r="A6" s="6" t="s">
        <v>10</v>
      </c>
    </row>
    <row r="7" ht="15">
      <c r="A7" s="6" t="s">
        <v>11</v>
      </c>
    </row>
    <row r="8" ht="15">
      <c r="A8" s="6" t="s">
        <v>12</v>
      </c>
    </row>
    <row r="9" ht="15">
      <c r="A9" s="6" t="s">
        <v>13</v>
      </c>
    </row>
    <row r="10" ht="15">
      <c r="A10" s="6" t="s">
        <v>14</v>
      </c>
    </row>
    <row r="11" ht="15">
      <c r="A11" s="6" t="s">
        <v>15</v>
      </c>
    </row>
    <row r="12" ht="15">
      <c r="A12" s="6" t="s">
        <v>16</v>
      </c>
    </row>
    <row r="13" ht="15">
      <c r="A13" s="11" t="s">
        <v>17</v>
      </c>
    </row>
    <row r="14" ht="15">
      <c r="A14" s="6" t="s">
        <v>18</v>
      </c>
    </row>
    <row r="15" ht="15">
      <c r="A15" s="6" t="s">
        <v>19</v>
      </c>
    </row>
    <row r="16" ht="15">
      <c r="A16" s="6" t="s">
        <v>20</v>
      </c>
    </row>
    <row r="17" ht="15">
      <c r="A17" s="6" t="s">
        <v>21</v>
      </c>
    </row>
    <row r="18" ht="15">
      <c r="A18" s="15" t="s">
        <v>22</v>
      </c>
    </row>
    <row r="19" ht="15">
      <c r="A19" s="6" t="s">
        <v>23</v>
      </c>
    </row>
    <row r="20" ht="15">
      <c r="A20" s="16" t="s">
        <v>24</v>
      </c>
    </row>
    <row r="21" ht="15">
      <c r="A21" s="20" t="s">
        <v>25</v>
      </c>
    </row>
    <row r="22" ht="12.75" customHeight="1">
      <c r="A22" s="21" t="s">
        <v>26</v>
      </c>
    </row>
    <row r="23" ht="12.75" customHeight="1">
      <c r="A23" s="21" t="s">
        <v>27</v>
      </c>
    </row>
    <row r="24" ht="15">
      <c r="A24" s="22" t="s">
        <v>28</v>
      </c>
    </row>
    <row r="25" ht="12.75" customHeight="1">
      <c r="A25" s="23" t="s">
        <v>29</v>
      </c>
    </row>
    <row r="26" ht="12.75" customHeight="1">
      <c r="A26" s="21" t="s">
        <v>30</v>
      </c>
    </row>
    <row r="27" ht="12.75" customHeight="1">
      <c r="A27" s="24" t="s">
        <v>31</v>
      </c>
    </row>
    <row r="28" ht="12.75" customHeight="1">
      <c r="A28" s="24" t="s">
        <v>32</v>
      </c>
    </row>
    <row r="29" ht="12.75" customHeight="1">
      <c r="A29" s="25" t="s">
        <v>33</v>
      </c>
    </row>
    <row r="30" ht="12.75" customHeight="1">
      <c r="A30" s="26" t="s">
        <v>34</v>
      </c>
    </row>
    <row r="31" ht="12.75" customHeight="1">
      <c r="A31" s="27" t="s">
        <v>35</v>
      </c>
    </row>
    <row r="32" ht="15">
      <c r="A32" s="27" t="s">
        <v>36</v>
      </c>
    </row>
    <row r="33" ht="15">
      <c r="A33" s="28" t="s">
        <v>37</v>
      </c>
    </row>
    <row r="34" ht="15">
      <c r="A34" s="28" t="s">
        <v>38</v>
      </c>
    </row>
    <row r="35" ht="15">
      <c r="A35" s="29" t="s">
        <v>39</v>
      </c>
    </row>
    <row r="36" ht="15">
      <c r="A36" s="29" t="s">
        <v>40</v>
      </c>
    </row>
    <row r="37" ht="26.25">
      <c r="A37" s="30" t="s">
        <v>41</v>
      </c>
    </row>
    <row r="38" ht="39">
      <c r="A38" s="30" t="s">
        <v>42</v>
      </c>
    </row>
    <row r="39" ht="15">
      <c r="A39" s="31"/>
    </row>
    <row r="40" ht="13.5" customHeight="1">
      <c r="A40" s="35" t="s">
        <v>43</v>
      </c>
    </row>
    <row r="41" ht="15">
      <c r="A41" s="41" t="s">
        <v>44</v>
      </c>
    </row>
    <row r="42" ht="15">
      <c r="A42" s="42" t="s">
        <v>45</v>
      </c>
    </row>
    <row r="43" ht="15">
      <c r="A43" s="43" t="s">
        <v>46</v>
      </c>
    </row>
    <row r="44" ht="15">
      <c r="A44" s="43" t="s">
        <v>47</v>
      </c>
    </row>
    <row r="45" ht="15">
      <c r="A45" s="43" t="s">
        <v>48</v>
      </c>
    </row>
    <row r="46" ht="15">
      <c r="A46" s="43" t="s">
        <v>49</v>
      </c>
    </row>
    <row r="47" ht="15">
      <c r="A47" s="43" t="s">
        <v>50</v>
      </c>
    </row>
    <row r="48" ht="15">
      <c r="A48" s="47"/>
    </row>
    <row r="49" spans="1:10" s="60" customFormat="1" ht="15.75" thickBot="1">
      <c r="A49" s="51" t="s">
        <v>51</v>
      </c>
      <c r="B49"/>
      <c r="C49"/>
      <c r="D49"/>
      <c r="E49"/>
      <c r="F49"/>
      <c r="G49"/>
      <c r="H49"/>
      <c r="I49"/>
      <c r="J49"/>
    </row>
    <row r="50" ht="15">
      <c r="A50" s="54"/>
    </row>
    <row r="51" ht="15">
      <c r="A51" s="56" t="s">
        <v>52</v>
      </c>
    </row>
    <row r="52" ht="15">
      <c r="A52" s="56" t="s">
        <v>54</v>
      </c>
    </row>
    <row r="53" ht="15">
      <c r="A53" s="56" t="s">
        <v>55</v>
      </c>
    </row>
    <row r="54" ht="15.75" thickBot="1"/>
    <row r="55" spans="1:11" ht="42.75" customHeight="1" thickBot="1">
      <c r="A55" s="63" t="s">
        <v>57</v>
      </c>
      <c r="K55" s="62"/>
    </row>
    <row r="56" ht="15">
      <c r="A56" s="43" t="s">
        <v>58</v>
      </c>
    </row>
    <row r="57" ht="15">
      <c r="A57" s="64" t="s">
        <v>59</v>
      </c>
    </row>
    <row r="58" ht="15">
      <c r="A58" s="64" t="s">
        <v>60</v>
      </c>
    </row>
    <row r="59" ht="13.5" customHeight="1">
      <c r="A59" s="43" t="s">
        <v>61</v>
      </c>
    </row>
    <row r="60" ht="13.5" customHeight="1">
      <c r="A60" s="64" t="s">
        <v>59</v>
      </c>
    </row>
    <row r="61" ht="13.5" customHeight="1">
      <c r="A61" s="64" t="s">
        <v>60</v>
      </c>
    </row>
    <row r="62" ht="13.5" customHeight="1">
      <c r="A62" s="43" t="s">
        <v>62</v>
      </c>
    </row>
    <row r="63" ht="13.5" customHeight="1">
      <c r="A63" s="64" t="s">
        <v>59</v>
      </c>
    </row>
    <row r="64" ht="13.5" customHeight="1">
      <c r="A64" s="64" t="s">
        <v>60</v>
      </c>
    </row>
    <row r="65" ht="13.5" customHeight="1">
      <c r="A65" s="43" t="s">
        <v>63</v>
      </c>
    </row>
    <row r="66" ht="13.5" customHeight="1">
      <c r="A66" s="64" t="s">
        <v>59</v>
      </c>
    </row>
    <row r="67" spans="1:21" ht="13.5" customHeight="1">
      <c r="A67" s="64" t="s">
        <v>60</v>
      </c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</row>
    <row r="68" spans="1:21" ht="13.5" customHeight="1">
      <c r="A68" s="65" t="s">
        <v>64</v>
      </c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</row>
    <row r="69" ht="15">
      <c r="A69" s="65"/>
    </row>
    <row r="70" ht="15">
      <c r="A70" s="43" t="s">
        <v>65</v>
      </c>
    </row>
    <row r="71" ht="15">
      <c r="A71" s="64" t="s">
        <v>59</v>
      </c>
    </row>
    <row r="72" spans="1:10" s="66" customFormat="1" ht="15">
      <c r="A72" s="64" t="s">
        <v>60</v>
      </c>
      <c r="B72"/>
      <c r="C72"/>
      <c r="D72"/>
      <c r="E72"/>
      <c r="F72"/>
      <c r="G72"/>
      <c r="H72"/>
      <c r="I72"/>
      <c r="J72"/>
    </row>
    <row r="73" spans="1:10" s="66" customFormat="1" ht="15">
      <c r="A73" s="67" t="s">
        <v>66</v>
      </c>
      <c r="B73"/>
      <c r="C73"/>
      <c r="D73"/>
      <c r="E73"/>
      <c r="F73"/>
      <c r="G73"/>
      <c r="H73"/>
      <c r="I73"/>
      <c r="J73"/>
    </row>
    <row r="74" ht="15">
      <c r="A74" s="64" t="s">
        <v>59</v>
      </c>
    </row>
    <row r="75" ht="15">
      <c r="A75" s="64" t="s">
        <v>60</v>
      </c>
    </row>
    <row r="76" ht="19.5" customHeight="1">
      <c r="A76" s="68" t="s">
        <v>67</v>
      </c>
    </row>
    <row r="87" ht="15">
      <c r="A87" s="60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80"/>
  <sheetViews>
    <sheetView tabSelected="1" zoomScalePageLayoutView="0" workbookViewId="0" topLeftCell="A16">
      <selection activeCell="H14" sqref="H14"/>
    </sheetView>
  </sheetViews>
  <sheetFormatPr defaultColWidth="9.140625" defaultRowHeight="15"/>
  <cols>
    <col min="1" max="1" width="44.140625" style="0" customWidth="1"/>
    <col min="3" max="3" width="10.57421875" style="0" customWidth="1"/>
    <col min="4" max="7" width="10.00390625" style="0" customWidth="1"/>
    <col min="8" max="8" width="36.140625" style="0" customWidth="1"/>
    <col min="9" max="9" width="25.57421875" style="0" customWidth="1"/>
    <col min="10" max="10" width="49.57421875" style="0" customWidth="1"/>
  </cols>
  <sheetData>
    <row r="1" spans="1:10" ht="48" customHeight="1">
      <c r="A1" s="179" t="s">
        <v>89</v>
      </c>
      <c r="B1" s="180" t="s">
        <v>0</v>
      </c>
      <c r="C1" s="180" t="s">
        <v>1</v>
      </c>
      <c r="D1" s="180" t="s">
        <v>2</v>
      </c>
      <c r="E1" s="180" t="s">
        <v>3</v>
      </c>
      <c r="F1" s="180" t="s">
        <v>4</v>
      </c>
      <c r="G1" s="180" t="s">
        <v>5</v>
      </c>
      <c r="I1" s="181" t="s">
        <v>90</v>
      </c>
      <c r="J1" s="182" t="s">
        <v>91</v>
      </c>
    </row>
    <row r="2" spans="1:9" ht="15" customHeight="1">
      <c r="A2" s="183" t="s">
        <v>6</v>
      </c>
      <c r="B2" s="184">
        <f aca="true" t="shared" si="0" ref="B2:G2">B3+B7+B8+B12</f>
        <v>3333879</v>
      </c>
      <c r="C2" s="184">
        <f t="shared" si="0"/>
        <v>3265052.69</v>
      </c>
      <c r="D2" s="184">
        <f t="shared" si="0"/>
        <v>2991255</v>
      </c>
      <c r="E2" s="184">
        <f t="shared" si="0"/>
        <v>3089155</v>
      </c>
      <c r="F2" s="184">
        <f t="shared" si="0"/>
        <v>3191847</v>
      </c>
      <c r="G2" s="184">
        <f t="shared" si="0"/>
        <v>3299572</v>
      </c>
      <c r="I2" s="185" t="s">
        <v>92</v>
      </c>
    </row>
    <row r="3" spans="1:7" ht="15">
      <c r="A3" s="186" t="s">
        <v>7</v>
      </c>
      <c r="B3" s="187">
        <f aca="true" t="shared" si="1" ref="B3:G3">SUM(B4:B6)</f>
        <v>1806029</v>
      </c>
      <c r="C3" s="187">
        <f t="shared" si="1"/>
        <v>1899850</v>
      </c>
      <c r="D3" s="187">
        <f t="shared" si="1"/>
        <v>1931094</v>
      </c>
      <c r="E3" s="187">
        <f t="shared" si="1"/>
        <v>2026449</v>
      </c>
      <c r="F3" s="187">
        <f t="shared" si="1"/>
        <v>2126571</v>
      </c>
      <c r="G3" s="187">
        <f t="shared" si="1"/>
        <v>2231700</v>
      </c>
    </row>
    <row r="4" spans="1:7" ht="15">
      <c r="A4" s="186" t="s">
        <v>8</v>
      </c>
      <c r="B4" s="188">
        <v>1759420</v>
      </c>
      <c r="C4" s="188">
        <v>1853280</v>
      </c>
      <c r="D4" s="189">
        <v>1907094</v>
      </c>
      <c r="E4" s="189">
        <v>2002449</v>
      </c>
      <c r="F4" s="189">
        <v>2102571</v>
      </c>
      <c r="G4" s="189">
        <v>2207700</v>
      </c>
    </row>
    <row r="5" spans="1:7" ht="15">
      <c r="A5" s="186" t="s">
        <v>9</v>
      </c>
      <c r="B5" s="188">
        <v>46609</v>
      </c>
      <c r="C5" s="188">
        <v>46570</v>
      </c>
      <c r="D5" s="189">
        <v>24000</v>
      </c>
      <c r="E5" s="189">
        <v>24000</v>
      </c>
      <c r="F5" s="189">
        <v>24000</v>
      </c>
      <c r="G5" s="189">
        <v>24000</v>
      </c>
    </row>
    <row r="6" spans="1:7" ht="15">
      <c r="A6" s="186" t="s">
        <v>10</v>
      </c>
      <c r="B6" s="188">
        <v>0</v>
      </c>
      <c r="C6" s="188">
        <v>0</v>
      </c>
      <c r="D6" s="189"/>
      <c r="E6" s="189"/>
      <c r="F6" s="189"/>
      <c r="G6" s="189"/>
    </row>
    <row r="7" spans="1:7" ht="15">
      <c r="A7" s="186" t="s">
        <v>11</v>
      </c>
      <c r="B7" s="188">
        <v>273847</v>
      </c>
      <c r="C7" s="188">
        <v>268364.88</v>
      </c>
      <c r="D7" s="189">
        <v>254462</v>
      </c>
      <c r="E7" s="189">
        <v>257007</v>
      </c>
      <c r="F7" s="189">
        <v>259577</v>
      </c>
      <c r="G7" s="189">
        <v>262173</v>
      </c>
    </row>
    <row r="8" spans="1:7" ht="15">
      <c r="A8" s="186" t="s">
        <v>12</v>
      </c>
      <c r="B8" s="190">
        <v>1249838</v>
      </c>
      <c r="C8" s="187">
        <v>1093322.81</v>
      </c>
      <c r="D8" s="187">
        <v>805599</v>
      </c>
      <c r="E8" s="187">
        <v>805599</v>
      </c>
      <c r="F8" s="187">
        <v>805599</v>
      </c>
      <c r="G8" s="187">
        <v>805599</v>
      </c>
    </row>
    <row r="9" spans="1:10" ht="15">
      <c r="A9" s="186" t="s">
        <v>13</v>
      </c>
      <c r="B9" s="188">
        <v>39445</v>
      </c>
      <c r="C9" s="188">
        <v>47584</v>
      </c>
      <c r="D9" s="189"/>
      <c r="E9" s="189"/>
      <c r="F9" s="189"/>
      <c r="G9" s="189"/>
      <c r="I9" s="62"/>
      <c r="J9" s="62"/>
    </row>
    <row r="10" spans="1:7" ht="15">
      <c r="A10" s="186" t="s">
        <v>14</v>
      </c>
      <c r="B10" s="188">
        <v>865576</v>
      </c>
      <c r="C10" s="188">
        <v>839023</v>
      </c>
      <c r="D10" s="191">
        <v>805599</v>
      </c>
      <c r="E10" s="191">
        <v>805599</v>
      </c>
      <c r="F10" s="191">
        <v>805599</v>
      </c>
      <c r="G10" s="191">
        <v>805599</v>
      </c>
    </row>
    <row r="11" spans="1:7" ht="15">
      <c r="A11" s="186" t="s">
        <v>15</v>
      </c>
      <c r="B11" s="188">
        <v>344817</v>
      </c>
      <c r="C11" s="188">
        <v>206715.81</v>
      </c>
      <c r="D11" s="189"/>
      <c r="E11" s="189"/>
      <c r="F11" s="189"/>
      <c r="G11" s="189"/>
    </row>
    <row r="12" spans="1:7" ht="15">
      <c r="A12" s="186" t="s">
        <v>16</v>
      </c>
      <c r="B12" s="188">
        <v>4165</v>
      </c>
      <c r="C12" s="188">
        <v>3515</v>
      </c>
      <c r="D12" s="189">
        <v>100</v>
      </c>
      <c r="E12" s="189">
        <v>100</v>
      </c>
      <c r="F12" s="189">
        <v>100</v>
      </c>
      <c r="G12" s="189">
        <v>100</v>
      </c>
    </row>
    <row r="13" spans="1:7" ht="15">
      <c r="A13" s="192" t="s">
        <v>17</v>
      </c>
      <c r="B13" s="193">
        <v>3086082</v>
      </c>
      <c r="C13" s="193">
        <v>3193049.5500000003</v>
      </c>
      <c r="D13" s="194">
        <v>2763552</v>
      </c>
      <c r="E13" s="194">
        <v>2830141</v>
      </c>
      <c r="F13" s="194">
        <v>2875633</v>
      </c>
      <c r="G13" s="194">
        <v>2926023</v>
      </c>
    </row>
    <row r="14" spans="1:7" ht="15">
      <c r="A14" s="186" t="s">
        <v>18</v>
      </c>
      <c r="B14" s="188">
        <v>230428</v>
      </c>
      <c r="C14" s="188">
        <v>258284.75</v>
      </c>
      <c r="D14" s="189">
        <v>220338</v>
      </c>
      <c r="E14" s="189">
        <v>220338</v>
      </c>
      <c r="F14" s="189">
        <v>220338</v>
      </c>
      <c r="G14" s="189">
        <v>220338</v>
      </c>
    </row>
    <row r="15" spans="1:7" ht="15">
      <c r="A15" s="186" t="s">
        <v>19</v>
      </c>
      <c r="B15" s="190">
        <v>2855654</v>
      </c>
      <c r="C15" s="190">
        <v>2934764.8000000003</v>
      </c>
      <c r="D15" s="195">
        <v>2543214</v>
      </c>
      <c r="E15" s="195">
        <v>2609803</v>
      </c>
      <c r="F15" s="195">
        <v>2655295</v>
      </c>
      <c r="G15" s="196">
        <v>2705685</v>
      </c>
    </row>
    <row r="16" spans="1:7" ht="15">
      <c r="A16" s="186" t="s">
        <v>20</v>
      </c>
      <c r="B16" s="188">
        <v>1755271</v>
      </c>
      <c r="C16" s="188">
        <v>1706579.85</v>
      </c>
      <c r="D16" s="189">
        <v>1691617</v>
      </c>
      <c r="E16" s="189">
        <v>1714490</v>
      </c>
      <c r="F16" s="189">
        <v>1737820</v>
      </c>
      <c r="G16" s="189">
        <v>1761799</v>
      </c>
    </row>
    <row r="17" spans="1:7" ht="15">
      <c r="A17" s="186" t="s">
        <v>21</v>
      </c>
      <c r="B17" s="188">
        <v>1100383</v>
      </c>
      <c r="C17" s="188">
        <v>1223790.75</v>
      </c>
      <c r="D17" s="189">
        <v>851597</v>
      </c>
      <c r="E17" s="189">
        <v>895313</v>
      </c>
      <c r="F17" s="189">
        <v>917475</v>
      </c>
      <c r="G17" s="189">
        <v>943886</v>
      </c>
    </row>
    <row r="18" spans="1:7" ht="15">
      <c r="A18" s="197" t="s">
        <v>22</v>
      </c>
      <c r="B18" s="198"/>
      <c r="C18" s="198"/>
      <c r="D18" s="199"/>
      <c r="E18" s="199"/>
      <c r="F18" s="199"/>
      <c r="G18" s="199"/>
    </row>
    <row r="19" spans="1:7" ht="15">
      <c r="A19" s="186" t="s">
        <v>23</v>
      </c>
      <c r="B19" s="188">
        <v>0</v>
      </c>
      <c r="C19" s="188">
        <v>4394.2</v>
      </c>
      <c r="D19" s="189"/>
      <c r="E19" s="189"/>
      <c r="F19" s="189"/>
      <c r="G19" s="189"/>
    </row>
    <row r="20" spans="1:10" ht="15">
      <c r="A20" s="304" t="s">
        <v>24</v>
      </c>
      <c r="B20" s="305">
        <v>247797</v>
      </c>
      <c r="C20" s="306">
        <v>72003.13999999966</v>
      </c>
      <c r="D20" s="306">
        <v>227703</v>
      </c>
      <c r="E20" s="306">
        <v>259014</v>
      </c>
      <c r="F20" s="306">
        <v>316214</v>
      </c>
      <c r="G20" s="306">
        <v>373549</v>
      </c>
      <c r="J20" s="62"/>
    </row>
    <row r="21" spans="1:10" ht="15">
      <c r="A21" s="200" t="s">
        <v>25</v>
      </c>
      <c r="B21" s="193">
        <v>-102732</v>
      </c>
      <c r="C21" s="193">
        <v>-587282</v>
      </c>
      <c r="D21" s="193">
        <v>-1037976</v>
      </c>
      <c r="E21" s="193">
        <v>-89729</v>
      </c>
      <c r="F21" s="193">
        <v>-45571</v>
      </c>
      <c r="G21" s="194">
        <v>-38141</v>
      </c>
      <c r="J21" s="62"/>
    </row>
    <row r="22" spans="1:10" ht="12.75" customHeight="1">
      <c r="A22" s="201" t="s">
        <v>26</v>
      </c>
      <c r="B22" s="188">
        <v>20195</v>
      </c>
      <c r="C22" s="188">
        <v>11500</v>
      </c>
      <c r="D22" s="189"/>
      <c r="E22" s="189"/>
      <c r="F22" s="189"/>
      <c r="G22" s="189"/>
      <c r="J22" s="62"/>
    </row>
    <row r="23" spans="1:10" ht="12.75" customHeight="1">
      <c r="A23" s="201" t="s">
        <v>27</v>
      </c>
      <c r="B23" s="188">
        <v>-402005</v>
      </c>
      <c r="C23" s="188">
        <v>-124718.53000000003</v>
      </c>
      <c r="D23" s="202">
        <v>0</v>
      </c>
      <c r="E23" s="202">
        <v>-39610</v>
      </c>
      <c r="F23" s="202">
        <v>0</v>
      </c>
      <c r="G23" s="202">
        <v>0</v>
      </c>
      <c r="J23" s="62"/>
    </row>
    <row r="24" spans="1:10" ht="15">
      <c r="A24" s="203" t="s">
        <v>28</v>
      </c>
      <c r="B24" s="188"/>
      <c r="C24" s="202">
        <v>-23212</v>
      </c>
      <c r="D24" s="202">
        <v>0</v>
      </c>
      <c r="E24" s="202">
        <v>-39610</v>
      </c>
      <c r="F24" s="202">
        <v>0</v>
      </c>
      <c r="G24" s="202">
        <v>0</v>
      </c>
      <c r="J24" s="62"/>
    </row>
    <row r="25" spans="1:7" ht="12.75" customHeight="1">
      <c r="A25" s="204" t="s">
        <v>29</v>
      </c>
      <c r="B25" s="188">
        <v>301472</v>
      </c>
      <c r="C25" s="205">
        <v>101176.53</v>
      </c>
      <c r="D25" s="202">
        <v>2057831</v>
      </c>
      <c r="E25" s="202">
        <v>0</v>
      </c>
      <c r="F25" s="202">
        <v>0</v>
      </c>
      <c r="G25" s="202">
        <v>0</v>
      </c>
    </row>
    <row r="26" spans="1:7" ht="12.75" customHeight="1">
      <c r="A26" s="201" t="s">
        <v>30</v>
      </c>
      <c r="B26" s="188">
        <v>0</v>
      </c>
      <c r="C26" s="188">
        <v>-550000</v>
      </c>
      <c r="D26" s="189">
        <v>-3052694</v>
      </c>
      <c r="E26" s="189"/>
      <c r="F26" s="189"/>
      <c r="G26" s="189"/>
    </row>
    <row r="27" spans="1:10" ht="12.75" customHeight="1">
      <c r="A27" s="206" t="s">
        <v>31</v>
      </c>
      <c r="B27" s="188">
        <v>0</v>
      </c>
      <c r="C27" s="188">
        <v>0</v>
      </c>
      <c r="D27" s="189"/>
      <c r="E27" s="189"/>
      <c r="F27" s="189"/>
      <c r="G27" s="189"/>
      <c r="J27" s="62"/>
    </row>
    <row r="28" spans="1:7" ht="12.75" customHeight="1">
      <c r="A28" s="206" t="s">
        <v>32</v>
      </c>
      <c r="B28" s="188">
        <v>0</v>
      </c>
      <c r="C28" s="188">
        <v>0</v>
      </c>
      <c r="D28" s="189"/>
      <c r="E28" s="189"/>
      <c r="F28" s="189"/>
      <c r="G28" s="189"/>
    </row>
    <row r="29" spans="1:7" ht="12.75" customHeight="1">
      <c r="A29" s="207" t="s">
        <v>33</v>
      </c>
      <c r="B29" s="208">
        <v>0</v>
      </c>
      <c r="C29" s="208">
        <v>0</v>
      </c>
      <c r="D29" s="189"/>
      <c r="E29" s="189"/>
      <c r="F29" s="189"/>
      <c r="G29" s="189"/>
    </row>
    <row r="30" spans="1:7" ht="12.75" customHeight="1">
      <c r="A30" s="209" t="s">
        <v>34</v>
      </c>
      <c r="B30" s="188">
        <v>0</v>
      </c>
      <c r="C30" s="188">
        <v>0</v>
      </c>
      <c r="D30" s="210"/>
      <c r="E30" s="189"/>
      <c r="F30" s="189"/>
      <c r="G30" s="189"/>
    </row>
    <row r="31" spans="1:7" ht="12.75" customHeight="1">
      <c r="A31" s="211" t="s">
        <v>35</v>
      </c>
      <c r="B31" s="212">
        <v>127</v>
      </c>
      <c r="C31" s="212">
        <v>130</v>
      </c>
      <c r="D31" s="189"/>
      <c r="E31" s="189"/>
      <c r="F31" s="189"/>
      <c r="G31" s="189"/>
    </row>
    <row r="32" spans="1:7" ht="15">
      <c r="A32" s="211" t="s">
        <v>36</v>
      </c>
      <c r="B32" s="188">
        <v>-22521</v>
      </c>
      <c r="C32" s="188">
        <v>-25370</v>
      </c>
      <c r="D32" s="189">
        <v>-43113</v>
      </c>
      <c r="E32" s="189">
        <v>-50119</v>
      </c>
      <c r="F32" s="189">
        <v>-45571</v>
      </c>
      <c r="G32" s="189">
        <v>-38141</v>
      </c>
    </row>
    <row r="33" spans="1:7" ht="15">
      <c r="A33" s="200" t="s">
        <v>37</v>
      </c>
      <c r="B33" s="193">
        <v>145065</v>
      </c>
      <c r="C33" s="194">
        <v>-515278.86000000034</v>
      </c>
      <c r="D33" s="194">
        <v>-810273</v>
      </c>
      <c r="E33" s="194">
        <v>169285</v>
      </c>
      <c r="F33" s="194">
        <v>270643</v>
      </c>
      <c r="G33" s="194">
        <v>335408</v>
      </c>
    </row>
    <row r="34" spans="1:7" ht="15">
      <c r="A34" s="200" t="s">
        <v>38</v>
      </c>
      <c r="B34" s="193">
        <v>-206059</v>
      </c>
      <c r="C34" s="194">
        <v>429262</v>
      </c>
      <c r="D34" s="194">
        <v>810273</v>
      </c>
      <c r="E34" s="194">
        <v>-147771</v>
      </c>
      <c r="F34" s="194">
        <v>-226500</v>
      </c>
      <c r="G34" s="194">
        <v>-304801</v>
      </c>
    </row>
    <row r="35" spans="1:7" ht="15">
      <c r="A35" s="213" t="s">
        <v>39</v>
      </c>
      <c r="B35" s="188">
        <v>0</v>
      </c>
      <c r="C35" s="188">
        <v>550000</v>
      </c>
      <c r="D35" s="189">
        <v>994863</v>
      </c>
      <c r="E35" s="189"/>
      <c r="F35" s="189"/>
      <c r="G35" s="189"/>
    </row>
    <row r="36" spans="1:7" ht="15">
      <c r="A36" s="213" t="s">
        <v>40</v>
      </c>
      <c r="B36" s="188">
        <v>-206059</v>
      </c>
      <c r="C36" s="188">
        <v>-120738</v>
      </c>
      <c r="D36" s="189">
        <v>-184590</v>
      </c>
      <c r="E36" s="189">
        <v>-147771</v>
      </c>
      <c r="F36" s="189">
        <v>-226500</v>
      </c>
      <c r="G36" s="189">
        <v>-304801</v>
      </c>
    </row>
    <row r="37" spans="1:7" ht="26.25">
      <c r="A37" s="214" t="s">
        <v>41</v>
      </c>
      <c r="B37" s="188">
        <v>-60994</v>
      </c>
      <c r="C37" s="215">
        <v>-86016.86</v>
      </c>
      <c r="D37" s="216"/>
      <c r="E37" s="217">
        <v>21514</v>
      </c>
      <c r="F37" s="218">
        <v>44143</v>
      </c>
      <c r="G37" s="219">
        <v>30607</v>
      </c>
    </row>
    <row r="38" spans="1:7" ht="39">
      <c r="A38" s="214" t="s">
        <v>42</v>
      </c>
      <c r="B38" s="188">
        <v>0</v>
      </c>
      <c r="C38" s="188">
        <v>0</v>
      </c>
      <c r="D38" s="189"/>
      <c r="E38" s="189"/>
      <c r="F38" s="189"/>
      <c r="G38" s="189"/>
    </row>
    <row r="39" spans="1:7" ht="15">
      <c r="A39" s="220"/>
      <c r="B39" s="221"/>
      <c r="C39" s="221"/>
      <c r="D39" s="222"/>
      <c r="E39" s="222"/>
      <c r="F39" s="222"/>
      <c r="G39" s="222"/>
    </row>
    <row r="40" spans="1:7" ht="13.5" customHeight="1">
      <c r="A40" s="223" t="s">
        <v>43</v>
      </c>
      <c r="B40" s="224">
        <v>86016.86</v>
      </c>
      <c r="C40" s="225">
        <v>0</v>
      </c>
      <c r="D40" s="226">
        <v>0</v>
      </c>
      <c r="E40" s="227">
        <v>21514</v>
      </c>
      <c r="F40" s="228">
        <v>65657</v>
      </c>
      <c r="G40" s="229">
        <v>96264</v>
      </c>
    </row>
    <row r="41" spans="1:7" ht="15">
      <c r="A41" s="230" t="s">
        <v>44</v>
      </c>
      <c r="B41" s="231">
        <v>806434</v>
      </c>
      <c r="C41" s="231">
        <v>1235696</v>
      </c>
      <c r="D41" s="232">
        <v>2045969</v>
      </c>
      <c r="E41" s="232">
        <v>1898198</v>
      </c>
      <c r="F41" s="232">
        <v>1671698</v>
      </c>
      <c r="G41" s="232">
        <v>1366897</v>
      </c>
    </row>
    <row r="42" spans="1:7" ht="15">
      <c r="A42" s="233" t="s">
        <v>45</v>
      </c>
      <c r="B42" s="234">
        <v>0</v>
      </c>
      <c r="C42" s="234">
        <v>0</v>
      </c>
      <c r="D42" s="189"/>
      <c r="E42" s="189"/>
      <c r="F42" s="189"/>
      <c r="G42" s="235"/>
    </row>
    <row r="43" spans="1:7" ht="15">
      <c r="A43" s="214" t="s">
        <v>46</v>
      </c>
      <c r="B43" s="190">
        <f aca="true" t="shared" si="2" ref="B43:G43">IF(B41-B40&lt;0,0,B41-B40)</f>
        <v>720417.14</v>
      </c>
      <c r="C43" s="190">
        <f t="shared" si="2"/>
        <v>1235696</v>
      </c>
      <c r="D43" s="190">
        <f t="shared" si="2"/>
        <v>2045969</v>
      </c>
      <c r="E43" s="190">
        <f t="shared" si="2"/>
        <v>1876684</v>
      </c>
      <c r="F43" s="190">
        <f t="shared" si="2"/>
        <v>1606041</v>
      </c>
      <c r="G43" s="187">
        <f t="shared" si="2"/>
        <v>1270633</v>
      </c>
    </row>
    <row r="44" spans="1:7" ht="15">
      <c r="A44" s="214" t="s">
        <v>47</v>
      </c>
      <c r="B44" s="236">
        <f aca="true" t="shared" si="3" ref="B44:G44">B43/B2</f>
        <v>0.21608976810496122</v>
      </c>
      <c r="C44" s="237">
        <f t="shared" si="3"/>
        <v>0.37846127377503364</v>
      </c>
      <c r="D44" s="237">
        <f t="shared" si="3"/>
        <v>0.6839834785065132</v>
      </c>
      <c r="E44" s="237">
        <f t="shared" si="3"/>
        <v>0.6075072309417948</v>
      </c>
      <c r="F44" s="237">
        <f t="shared" si="3"/>
        <v>0.5031697947927956</v>
      </c>
      <c r="G44" s="237">
        <f t="shared" si="3"/>
        <v>0.38509024806853737</v>
      </c>
    </row>
    <row r="45" spans="1:7" ht="15">
      <c r="A45" s="214" t="s">
        <v>48</v>
      </c>
      <c r="B45" s="190">
        <f aca="true" t="shared" si="4" ref="B45:G45">IF((B20+B18)*6&gt;B2,B2+B42,IF((B20+B18)*6&lt;0.6*B2,0.6*B2+B42,(B20+B18)*6+B42))</f>
        <v>2000327.4</v>
      </c>
      <c r="C45" s="190">
        <f t="shared" si="4"/>
        <v>1959031.6139999998</v>
      </c>
      <c r="D45" s="190">
        <f t="shared" si="4"/>
        <v>1794753</v>
      </c>
      <c r="E45" s="190">
        <f t="shared" si="4"/>
        <v>1853493</v>
      </c>
      <c r="F45" s="190">
        <f t="shared" si="4"/>
        <v>1915108.2</v>
      </c>
      <c r="G45" s="187">
        <f t="shared" si="4"/>
        <v>2241294</v>
      </c>
    </row>
    <row r="46" spans="1:7" ht="15">
      <c r="A46" s="214" t="s">
        <v>49</v>
      </c>
      <c r="B46" s="236">
        <f aca="true" t="shared" si="5" ref="B46:G46">B45/B2</f>
        <v>0.6</v>
      </c>
      <c r="C46" s="237">
        <f t="shared" si="5"/>
        <v>0.6</v>
      </c>
      <c r="D46" s="237">
        <f t="shared" si="5"/>
        <v>0.6</v>
      </c>
      <c r="E46" s="237">
        <f t="shared" si="5"/>
        <v>0.6</v>
      </c>
      <c r="F46" s="237">
        <f t="shared" si="5"/>
        <v>0.6</v>
      </c>
      <c r="G46" s="237">
        <f t="shared" si="5"/>
        <v>0.6792680990140539</v>
      </c>
    </row>
    <row r="47" spans="1:7" ht="15">
      <c r="A47" s="214" t="s">
        <v>50</v>
      </c>
      <c r="B47" s="190">
        <f aca="true" t="shared" si="6" ref="B47:G47">B45-B43</f>
        <v>1279910.2599999998</v>
      </c>
      <c r="C47" s="187">
        <f t="shared" si="6"/>
        <v>723335.6139999998</v>
      </c>
      <c r="D47" s="187">
        <f t="shared" si="6"/>
        <v>-251216</v>
      </c>
      <c r="E47" s="187">
        <f t="shared" si="6"/>
        <v>-23191</v>
      </c>
      <c r="F47" s="187">
        <f t="shared" si="6"/>
        <v>309067.19999999995</v>
      </c>
      <c r="G47" s="187">
        <f t="shared" si="6"/>
        <v>970661</v>
      </c>
    </row>
    <row r="48" spans="1:7" ht="15">
      <c r="A48" s="238"/>
      <c r="B48" s="239"/>
      <c r="C48" s="240"/>
      <c r="D48" s="240"/>
      <c r="E48" s="240"/>
      <c r="F48" s="240"/>
      <c r="G48" s="240"/>
    </row>
    <row r="49" spans="1:9" s="60" customFormat="1" ht="15">
      <c r="A49" s="241" t="s">
        <v>51</v>
      </c>
      <c r="B49" s="242">
        <f aca="true" t="shared" si="7" ref="B49:G49">B33+B34-B37+B38</f>
        <v>0</v>
      </c>
      <c r="C49" s="242">
        <f t="shared" si="7"/>
        <v>-3.346940502524376E-10</v>
      </c>
      <c r="D49" s="242">
        <f t="shared" si="7"/>
        <v>0</v>
      </c>
      <c r="E49" s="242">
        <f t="shared" si="7"/>
        <v>0</v>
      </c>
      <c r="F49" s="242">
        <f t="shared" si="7"/>
        <v>0</v>
      </c>
      <c r="G49" s="242">
        <f t="shared" si="7"/>
        <v>0</v>
      </c>
      <c r="H49"/>
      <c r="I49" s="243"/>
    </row>
    <row r="50" spans="1:7" ht="15">
      <c r="A50" s="244"/>
      <c r="B50" s="245"/>
      <c r="C50" s="245"/>
      <c r="D50" s="245"/>
      <c r="E50" s="245"/>
      <c r="F50" s="245"/>
      <c r="G50" s="245"/>
    </row>
    <row r="51" spans="1:7" ht="15">
      <c r="A51" s="246" t="s">
        <v>52</v>
      </c>
      <c r="B51" s="247" t="s">
        <v>53</v>
      </c>
      <c r="C51" s="248">
        <f>C2/B2-1</f>
        <v>-0.020644513493141226</v>
      </c>
      <c r="D51" s="248">
        <f>D2/C2-1</f>
        <v>-0.08385705101745233</v>
      </c>
      <c r="E51" s="248">
        <f>E2/D2-1</f>
        <v>0.0327287376034473</v>
      </c>
      <c r="F51" s="248">
        <f>F2/E2-1</f>
        <v>0.03324274761221102</v>
      </c>
      <c r="G51" s="248">
        <f>G2/F2-1</f>
        <v>0.03375005130258435</v>
      </c>
    </row>
    <row r="52" spans="1:7" ht="15">
      <c r="A52" s="246" t="s">
        <v>54</v>
      </c>
      <c r="B52" s="247" t="s">
        <v>53</v>
      </c>
      <c r="C52" s="248">
        <f>C13/B13-1</f>
        <v>0.034661279253111354</v>
      </c>
      <c r="D52" s="248">
        <f>D13/C13-1</f>
        <v>-0.1345101425062446</v>
      </c>
      <c r="E52" s="248">
        <f>E13/D13-1</f>
        <v>0.02409543949236337</v>
      </c>
      <c r="F52" s="248">
        <f>F13/E13-1</f>
        <v>0.016074110795186503</v>
      </c>
      <c r="G52" s="248">
        <f>G13/F13-1</f>
        <v>0.017523098392597358</v>
      </c>
    </row>
    <row r="53" spans="1:7" ht="15">
      <c r="A53" s="246" t="s">
        <v>55</v>
      </c>
      <c r="B53" s="249">
        <f aca="true" t="shared" si="8" ref="B53:G53">B2/B13</f>
        <v>1.0802950148440644</v>
      </c>
      <c r="C53" s="249">
        <f t="shared" si="8"/>
        <v>1.0225499601157144</v>
      </c>
      <c r="D53" s="249">
        <f t="shared" si="8"/>
        <v>1.082395048111995</v>
      </c>
      <c r="E53" s="249">
        <f t="shared" si="8"/>
        <v>1.0915198218039313</v>
      </c>
      <c r="F53" s="249">
        <f t="shared" si="8"/>
        <v>1.109963267218035</v>
      </c>
      <c r="G53" s="249">
        <f t="shared" si="8"/>
        <v>1.1276644100200168</v>
      </c>
    </row>
    <row r="55" spans="1:11" ht="42.75" customHeight="1">
      <c r="A55" s="250" t="s">
        <v>57</v>
      </c>
      <c r="B55" s="180"/>
      <c r="C55" s="180" t="s">
        <v>1</v>
      </c>
      <c r="D55" s="180" t="s">
        <v>2</v>
      </c>
      <c r="E55" s="180" t="s">
        <v>3</v>
      </c>
      <c r="F55" s="180" t="s">
        <v>4</v>
      </c>
      <c r="G55" s="180" t="s">
        <v>5</v>
      </c>
      <c r="K55" s="62"/>
    </row>
    <row r="56" spans="1:7" ht="15">
      <c r="A56" s="214" t="s">
        <v>93</v>
      </c>
      <c r="B56" s="251"/>
      <c r="C56" s="251">
        <f>SUM(C57:C58)</f>
        <v>38868</v>
      </c>
      <c r="D56" s="251">
        <f>SUM(D57:D58)</f>
        <v>0</v>
      </c>
      <c r="E56" s="251">
        <f>SUM(E57:E58)</f>
        <v>0</v>
      </c>
      <c r="F56" s="251">
        <f>SUM(F57:F58)</f>
        <v>0</v>
      </c>
      <c r="G56" s="251">
        <f>SUM(G57:G58)</f>
        <v>0</v>
      </c>
    </row>
    <row r="57" spans="1:7" ht="15">
      <c r="A57" s="252" t="s">
        <v>59</v>
      </c>
      <c r="B57" s="205"/>
      <c r="C57" s="253">
        <v>31956</v>
      </c>
      <c r="D57" s="253"/>
      <c r="E57" s="189"/>
      <c r="F57" s="189"/>
      <c r="G57" s="189"/>
    </row>
    <row r="58" spans="1:7" ht="15">
      <c r="A58" s="252" t="s">
        <v>60</v>
      </c>
      <c r="B58" s="205"/>
      <c r="C58" s="253">
        <v>6912</v>
      </c>
      <c r="D58" s="253"/>
      <c r="E58" s="189"/>
      <c r="F58" s="189"/>
      <c r="G58" s="189"/>
    </row>
    <row r="59" spans="1:7" ht="13.5" customHeight="1">
      <c r="A59" s="214" t="s">
        <v>94</v>
      </c>
      <c r="B59" s="251"/>
      <c r="C59" s="251">
        <f>SUM(C60:C61)</f>
        <v>0</v>
      </c>
      <c r="D59" s="251">
        <f>SUM(D60:D61)</f>
        <v>2057831</v>
      </c>
      <c r="E59" s="251">
        <f>SUM(E60:E61)</f>
        <v>0</v>
      </c>
      <c r="F59" s="251">
        <f>SUM(F60:F61)</f>
        <v>0</v>
      </c>
      <c r="G59" s="251">
        <f>SUM(G60:G61)</f>
        <v>0</v>
      </c>
    </row>
    <row r="60" spans="1:7" ht="13.5" customHeight="1">
      <c r="A60" s="252" t="s">
        <v>59</v>
      </c>
      <c r="B60" s="205"/>
      <c r="C60" s="253"/>
      <c r="D60" s="253">
        <v>2057831</v>
      </c>
      <c r="E60" s="189"/>
      <c r="F60" s="189"/>
      <c r="G60" s="189"/>
    </row>
    <row r="61" spans="1:7" ht="13.5" customHeight="1">
      <c r="A61" s="252" t="s">
        <v>60</v>
      </c>
      <c r="B61" s="205"/>
      <c r="C61" s="253"/>
      <c r="D61" s="253"/>
      <c r="E61" s="189"/>
      <c r="F61" s="189"/>
      <c r="G61" s="189"/>
    </row>
    <row r="62" spans="1:7" ht="13.5" customHeight="1">
      <c r="A62" s="214" t="s">
        <v>95</v>
      </c>
      <c r="B62" s="251"/>
      <c r="C62" s="251">
        <f>SUM(C63:C64)</f>
        <v>0</v>
      </c>
      <c r="D62" s="251">
        <f>SUM(D63:D64)</f>
        <v>0</v>
      </c>
      <c r="E62" s="251">
        <f>SUM(E63:E64)</f>
        <v>0</v>
      </c>
      <c r="F62" s="251">
        <f>SUM(F63:F64)</f>
        <v>0</v>
      </c>
      <c r="G62" s="251">
        <f>SUM(G63:G64)</f>
        <v>0</v>
      </c>
    </row>
    <row r="63" spans="1:7" ht="13.5" customHeight="1">
      <c r="A63" s="252" t="s">
        <v>59</v>
      </c>
      <c r="B63" s="205"/>
      <c r="C63" s="253"/>
      <c r="D63" s="253"/>
      <c r="E63" s="189"/>
      <c r="F63" s="189"/>
      <c r="G63" s="189"/>
    </row>
    <row r="64" spans="1:7" ht="13.5" customHeight="1">
      <c r="A64" s="252" t="s">
        <v>60</v>
      </c>
      <c r="B64" s="205"/>
      <c r="C64" s="253"/>
      <c r="D64" s="253"/>
      <c r="E64" s="189"/>
      <c r="F64" s="189"/>
      <c r="G64" s="189"/>
    </row>
    <row r="65" spans="1:7" ht="13.5" customHeight="1">
      <c r="A65" s="214" t="s">
        <v>63</v>
      </c>
      <c r="B65" s="251"/>
      <c r="C65" s="251">
        <f>SUM(C66:C67)</f>
        <v>0</v>
      </c>
      <c r="D65" s="251">
        <f>SUM(D66:D67)</f>
        <v>0</v>
      </c>
      <c r="E65" s="251">
        <f>SUM(E66:E67)</f>
        <v>0</v>
      </c>
      <c r="F65" s="251">
        <f>SUM(F66:F67)</f>
        <v>0</v>
      </c>
      <c r="G65" s="251">
        <f>SUM(G66:G67)</f>
        <v>0</v>
      </c>
    </row>
    <row r="66" spans="1:7" ht="13.5" customHeight="1">
      <c r="A66" s="252" t="s">
        <v>59</v>
      </c>
      <c r="B66" s="205"/>
      <c r="C66" s="253"/>
      <c r="D66" s="253"/>
      <c r="E66" s="189"/>
      <c r="F66" s="189"/>
      <c r="G66" s="189"/>
    </row>
    <row r="67" spans="1:21" ht="13.5" customHeight="1">
      <c r="A67" s="252" t="s">
        <v>60</v>
      </c>
      <c r="B67" s="205"/>
      <c r="C67" s="253"/>
      <c r="D67" s="253"/>
      <c r="E67" s="189"/>
      <c r="F67" s="189"/>
      <c r="G67" s="189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</row>
    <row r="68" spans="1:21" ht="13.5" customHeight="1">
      <c r="A68" s="246" t="s">
        <v>64</v>
      </c>
      <c r="B68" s="205"/>
      <c r="C68" s="189"/>
      <c r="D68" s="189"/>
      <c r="E68" s="189"/>
      <c r="F68" s="189"/>
      <c r="G68" s="189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</row>
    <row r="69" spans="1:7" ht="15">
      <c r="A69" s="246"/>
      <c r="B69" s="205"/>
      <c r="C69" s="189"/>
      <c r="D69" s="189"/>
      <c r="E69" s="189"/>
      <c r="F69" s="189"/>
      <c r="G69" s="189"/>
    </row>
    <row r="70" spans="1:7" ht="15">
      <c r="A70" s="214" t="s">
        <v>65</v>
      </c>
      <c r="B70" s="251"/>
      <c r="C70" s="251">
        <f>SUM(C71:C72)</f>
        <v>85850.53</v>
      </c>
      <c r="D70" s="251">
        <f>SUM(D71:D72)</f>
        <v>0</v>
      </c>
      <c r="E70" s="251">
        <f>SUM(E71:E72)</f>
        <v>39610</v>
      </c>
      <c r="F70" s="251">
        <f>SUM(F71:F72)</f>
        <v>0</v>
      </c>
      <c r="G70" s="251">
        <f>SUM(G71:G72)</f>
        <v>0</v>
      </c>
    </row>
    <row r="71" spans="1:7" ht="15">
      <c r="A71" s="252" t="s">
        <v>59</v>
      </c>
      <c r="B71" s="205"/>
      <c r="C71" s="253">
        <v>69550.53</v>
      </c>
      <c r="D71" s="253"/>
      <c r="E71" s="189"/>
      <c r="F71" s="189"/>
      <c r="G71" s="189"/>
    </row>
    <row r="72" spans="1:8" s="254" customFormat="1" ht="15">
      <c r="A72" s="252" t="s">
        <v>60</v>
      </c>
      <c r="B72" s="205"/>
      <c r="C72" s="253">
        <v>16300</v>
      </c>
      <c r="D72" s="253"/>
      <c r="E72" s="189">
        <v>39610</v>
      </c>
      <c r="F72" s="189"/>
      <c r="G72" s="189"/>
      <c r="H72"/>
    </row>
    <row r="73" spans="1:8" s="254" customFormat="1" ht="15">
      <c r="A73" s="255" t="s">
        <v>66</v>
      </c>
      <c r="B73" s="256"/>
      <c r="C73" s="256">
        <f>SUM(C74:C75)</f>
        <v>124718.53</v>
      </c>
      <c r="D73" s="256">
        <f>SUM(D74:D75)</f>
        <v>2057831</v>
      </c>
      <c r="E73" s="256">
        <f>SUM(E74:E75)</f>
        <v>39610</v>
      </c>
      <c r="F73" s="256">
        <f>SUM(F74:F75)</f>
        <v>0</v>
      </c>
      <c r="G73" s="256">
        <f>SUM(G74:G75)</f>
        <v>0</v>
      </c>
      <c r="H73"/>
    </row>
    <row r="74" spans="1:7" ht="15">
      <c r="A74" s="252" t="s">
        <v>59</v>
      </c>
      <c r="B74" s="205"/>
      <c r="C74" s="205">
        <f aca="true" t="shared" si="9" ref="C74:G75">C57+C60+C63+C66+C71</f>
        <v>101506.53</v>
      </c>
      <c r="D74" s="205">
        <f t="shared" si="9"/>
        <v>2057831</v>
      </c>
      <c r="E74" s="205">
        <f t="shared" si="9"/>
        <v>0</v>
      </c>
      <c r="F74" s="205">
        <f t="shared" si="9"/>
        <v>0</v>
      </c>
      <c r="G74" s="205">
        <f t="shared" si="9"/>
        <v>0</v>
      </c>
    </row>
    <row r="75" spans="1:7" ht="15">
      <c r="A75" s="252" t="s">
        <v>60</v>
      </c>
      <c r="B75" s="205"/>
      <c r="C75" s="205">
        <f t="shared" si="9"/>
        <v>23212</v>
      </c>
      <c r="D75" s="205">
        <f t="shared" si="9"/>
        <v>0</v>
      </c>
      <c r="E75" s="205">
        <f t="shared" si="9"/>
        <v>39610</v>
      </c>
      <c r="F75" s="205">
        <f t="shared" si="9"/>
        <v>0</v>
      </c>
      <c r="G75" s="205">
        <f t="shared" si="9"/>
        <v>0</v>
      </c>
    </row>
    <row r="76" ht="19.5" customHeight="1">
      <c r="A76" s="257" t="s">
        <v>67</v>
      </c>
    </row>
    <row r="80" ht="15">
      <c r="C80" s="189"/>
    </row>
  </sheetData>
  <sheetProtection/>
  <conditionalFormatting sqref="B47:G47 C20">
    <cfRule type="cellIs" priority="3" dxfId="11" operator="lessThan" stopIfTrue="1">
      <formula>0</formula>
    </cfRule>
  </conditionalFormatting>
  <conditionalFormatting sqref="D44:E44">
    <cfRule type="cellIs" priority="1" dxfId="10" operator="greaterThan" stopIfTrue="1">
      <formula>0.6</formula>
    </cfRule>
    <cfRule type="cellIs" priority="2" dxfId="10" operator="greaterThan" stopIfTrue="1">
      <formula>0.6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87"/>
  <sheetViews>
    <sheetView tabSelected="1" zoomScalePageLayoutView="0" workbookViewId="0" topLeftCell="A7">
      <selection activeCell="H14" sqref="H14"/>
    </sheetView>
  </sheetViews>
  <sheetFormatPr defaultColWidth="9.140625" defaultRowHeight="15"/>
  <cols>
    <col min="1" max="1" width="44.140625" style="0" customWidth="1"/>
    <col min="2" max="2" width="10.7109375" style="0" customWidth="1"/>
    <col min="3" max="3" width="9.421875" style="0" customWidth="1"/>
    <col min="4" max="4" width="10.00390625" style="0" customWidth="1"/>
    <col min="5" max="5" width="10.57421875" style="0" customWidth="1"/>
    <col min="6" max="6" width="9.57421875" style="0" customWidth="1"/>
    <col min="7" max="7" width="10.00390625" style="0" customWidth="1"/>
    <col min="8" max="8" width="36.140625" style="0" customWidth="1"/>
    <col min="9" max="9" width="25.57421875" style="0" customWidth="1"/>
    <col min="10" max="10" width="49.57421875" style="0" customWidth="1"/>
  </cols>
  <sheetData>
    <row r="1" spans="1:10" ht="48" customHeight="1" thickBot="1">
      <c r="A1" s="1" t="s">
        <v>101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I1" s="258" t="s">
        <v>90</v>
      </c>
      <c r="J1" s="292" t="s">
        <v>91</v>
      </c>
    </row>
    <row r="2" spans="1:9" ht="15" customHeight="1">
      <c r="A2" s="3" t="s">
        <v>6</v>
      </c>
      <c r="B2" s="4">
        <f aca="true" t="shared" si="0" ref="B2:G2">B3+B7+B8+B12</f>
        <v>1185782</v>
      </c>
      <c r="C2" s="4">
        <f t="shared" si="0"/>
        <v>1056881</v>
      </c>
      <c r="D2" s="4">
        <f t="shared" si="0"/>
        <v>1029900</v>
      </c>
      <c r="E2" s="4">
        <f t="shared" si="0"/>
        <v>1058300</v>
      </c>
      <c r="F2" s="4">
        <f t="shared" si="0"/>
        <v>1120300</v>
      </c>
      <c r="G2" s="5">
        <f t="shared" si="0"/>
        <v>1150900</v>
      </c>
      <c r="I2" s="260" t="s">
        <v>92</v>
      </c>
    </row>
    <row r="3" spans="1:7" ht="15">
      <c r="A3" s="6" t="s">
        <v>7</v>
      </c>
      <c r="B3" s="7">
        <f aca="true" t="shared" si="1" ref="B3:G3">SUM(B4:B6)</f>
        <v>728211</v>
      </c>
      <c r="C3" s="7">
        <f t="shared" si="1"/>
        <v>738100</v>
      </c>
      <c r="D3" s="7">
        <f t="shared" si="1"/>
        <v>765300</v>
      </c>
      <c r="E3" s="7">
        <f t="shared" si="1"/>
        <v>793700</v>
      </c>
      <c r="F3" s="7">
        <f t="shared" si="1"/>
        <v>823100</v>
      </c>
      <c r="G3" s="8">
        <f t="shared" si="1"/>
        <v>853700</v>
      </c>
    </row>
    <row r="4" spans="1:7" ht="15">
      <c r="A4" s="6" t="s">
        <v>8</v>
      </c>
      <c r="B4" s="261">
        <v>671802</v>
      </c>
      <c r="C4" s="261">
        <v>681200</v>
      </c>
      <c r="D4" s="9">
        <v>708400</v>
      </c>
      <c r="E4" s="9">
        <v>736800</v>
      </c>
      <c r="F4" s="9">
        <v>766200</v>
      </c>
      <c r="G4" s="262">
        <v>796800</v>
      </c>
    </row>
    <row r="5" spans="1:7" ht="15">
      <c r="A5" s="6" t="s">
        <v>9</v>
      </c>
      <c r="B5" s="261">
        <v>56409</v>
      </c>
      <c r="C5" s="261">
        <v>56900</v>
      </c>
      <c r="D5" s="9">
        <v>56900</v>
      </c>
      <c r="E5" s="9">
        <v>56900</v>
      </c>
      <c r="F5" s="9">
        <v>56900</v>
      </c>
      <c r="G5" s="262">
        <v>56900</v>
      </c>
    </row>
    <row r="6" spans="1:7" ht="15">
      <c r="A6" s="6" t="s">
        <v>10</v>
      </c>
      <c r="B6" s="261">
        <v>0</v>
      </c>
      <c r="C6" s="261">
        <v>0</v>
      </c>
      <c r="D6" s="9">
        <v>0</v>
      </c>
      <c r="E6" s="9">
        <v>0</v>
      </c>
      <c r="F6" s="9">
        <v>0</v>
      </c>
      <c r="G6" s="262">
        <v>0</v>
      </c>
    </row>
    <row r="7" spans="1:7" ht="15">
      <c r="A7" s="6" t="s">
        <v>11</v>
      </c>
      <c r="B7" s="263">
        <v>261289</v>
      </c>
      <c r="C7" s="263">
        <v>87360</v>
      </c>
      <c r="D7" s="9">
        <v>45000</v>
      </c>
      <c r="E7" s="9">
        <v>45000</v>
      </c>
      <c r="F7" s="9">
        <v>45000</v>
      </c>
      <c r="G7" s="262">
        <v>45000</v>
      </c>
    </row>
    <row r="8" spans="1:7" ht="15">
      <c r="A8" s="6" t="s">
        <v>12</v>
      </c>
      <c r="B8" s="10">
        <v>195395</v>
      </c>
      <c r="C8" s="7">
        <v>230721</v>
      </c>
      <c r="D8" s="7">
        <v>218900</v>
      </c>
      <c r="E8" s="7">
        <v>218900</v>
      </c>
      <c r="F8" s="7">
        <v>251500</v>
      </c>
      <c r="G8" s="8">
        <v>251500</v>
      </c>
    </row>
    <row r="9" spans="1:10" ht="15">
      <c r="A9" s="6" t="s">
        <v>13</v>
      </c>
      <c r="B9" s="263">
        <v>0</v>
      </c>
      <c r="C9" s="263">
        <v>0</v>
      </c>
      <c r="D9" s="9">
        <v>0</v>
      </c>
      <c r="E9" s="9">
        <v>0</v>
      </c>
      <c r="F9" s="9">
        <v>0</v>
      </c>
      <c r="G9" s="262">
        <v>0</v>
      </c>
      <c r="I9" s="62"/>
      <c r="J9" s="62"/>
    </row>
    <row r="10" spans="1:7" ht="15">
      <c r="A10" s="6" t="s">
        <v>14</v>
      </c>
      <c r="B10" s="263">
        <v>182720</v>
      </c>
      <c r="C10" s="263">
        <v>167400</v>
      </c>
      <c r="D10" s="9">
        <v>167400</v>
      </c>
      <c r="E10" s="9">
        <v>167400</v>
      </c>
      <c r="F10" s="9">
        <v>200000</v>
      </c>
      <c r="G10" s="262">
        <v>200000</v>
      </c>
    </row>
    <row r="11" spans="1:7" ht="15">
      <c r="A11" s="6" t="s">
        <v>15</v>
      </c>
      <c r="B11" s="263">
        <v>12675</v>
      </c>
      <c r="C11" s="263">
        <v>63321</v>
      </c>
      <c r="D11" s="9">
        <v>51500</v>
      </c>
      <c r="E11" s="9">
        <v>51500</v>
      </c>
      <c r="F11" s="9">
        <v>51500</v>
      </c>
      <c r="G11" s="262">
        <v>51500</v>
      </c>
    </row>
    <row r="12" spans="1:7" ht="15">
      <c r="A12" s="6" t="s">
        <v>16</v>
      </c>
      <c r="B12" s="263">
        <v>887</v>
      </c>
      <c r="C12" s="263">
        <v>700</v>
      </c>
      <c r="D12" s="9">
        <v>700</v>
      </c>
      <c r="E12" s="9">
        <v>700</v>
      </c>
      <c r="F12" s="9">
        <v>700</v>
      </c>
      <c r="G12" s="262">
        <v>700</v>
      </c>
    </row>
    <row r="13" spans="1:7" ht="15">
      <c r="A13" s="11" t="s">
        <v>17</v>
      </c>
      <c r="B13" s="12">
        <v>1130097</v>
      </c>
      <c r="C13" s="12">
        <v>961172</v>
      </c>
      <c r="D13" s="13">
        <v>905500</v>
      </c>
      <c r="E13" s="13">
        <v>924800</v>
      </c>
      <c r="F13" s="13">
        <v>978300</v>
      </c>
      <c r="G13" s="14">
        <v>978000</v>
      </c>
    </row>
    <row r="14" spans="1:7" ht="15">
      <c r="A14" s="6" t="s">
        <v>18</v>
      </c>
      <c r="B14" s="263">
        <v>77424</v>
      </c>
      <c r="C14" s="263">
        <v>80406</v>
      </c>
      <c r="D14" s="9">
        <v>65000</v>
      </c>
      <c r="E14" s="9">
        <v>65000</v>
      </c>
      <c r="F14" s="9">
        <v>50000</v>
      </c>
      <c r="G14" s="262">
        <v>40000</v>
      </c>
    </row>
    <row r="15" spans="1:7" ht="15">
      <c r="A15" s="6" t="s">
        <v>19</v>
      </c>
      <c r="B15" s="10">
        <v>1052673</v>
      </c>
      <c r="C15" s="10">
        <v>880766</v>
      </c>
      <c r="D15" s="264">
        <v>840500</v>
      </c>
      <c r="E15" s="264">
        <v>859800</v>
      </c>
      <c r="F15" s="264">
        <v>928300</v>
      </c>
      <c r="G15" s="265">
        <v>938000</v>
      </c>
    </row>
    <row r="16" spans="1:7" ht="15">
      <c r="A16" s="6" t="s">
        <v>20</v>
      </c>
      <c r="B16" s="263">
        <v>647679</v>
      </c>
      <c r="C16" s="263">
        <v>520049</v>
      </c>
      <c r="D16" s="9">
        <v>524200</v>
      </c>
      <c r="E16" s="9">
        <v>524200</v>
      </c>
      <c r="F16" s="9">
        <v>583000</v>
      </c>
      <c r="G16" s="262">
        <v>583000</v>
      </c>
    </row>
    <row r="17" spans="1:7" ht="15">
      <c r="A17" s="6" t="s">
        <v>21</v>
      </c>
      <c r="B17" s="263">
        <v>400327</v>
      </c>
      <c r="C17" s="263">
        <v>335059</v>
      </c>
      <c r="D17" s="9">
        <v>306000</v>
      </c>
      <c r="E17" s="9">
        <v>325000</v>
      </c>
      <c r="F17" s="9">
        <v>334000</v>
      </c>
      <c r="G17" s="262">
        <v>343400</v>
      </c>
    </row>
    <row r="18" spans="1:7" ht="15">
      <c r="A18" s="15" t="s">
        <v>22</v>
      </c>
      <c r="B18" s="266"/>
      <c r="C18" s="266"/>
      <c r="D18" s="267"/>
      <c r="E18" s="267"/>
      <c r="F18" s="267"/>
      <c r="G18" s="268"/>
    </row>
    <row r="19" spans="1:7" ht="15">
      <c r="A19" s="6" t="s">
        <v>23</v>
      </c>
      <c r="B19" s="263">
        <v>4667</v>
      </c>
      <c r="C19" s="263">
        <v>25658</v>
      </c>
      <c r="D19" s="9">
        <v>10300</v>
      </c>
      <c r="E19" s="9">
        <v>10600</v>
      </c>
      <c r="F19" s="9">
        <v>11300</v>
      </c>
      <c r="G19" s="262">
        <v>11600</v>
      </c>
    </row>
    <row r="20" spans="1:10" ht="15">
      <c r="A20" s="297" t="s">
        <v>24</v>
      </c>
      <c r="B20" s="298">
        <v>55685</v>
      </c>
      <c r="C20" s="299">
        <v>95709</v>
      </c>
      <c r="D20" s="299">
        <v>124400</v>
      </c>
      <c r="E20" s="299">
        <v>133500</v>
      </c>
      <c r="F20" s="299">
        <v>142000</v>
      </c>
      <c r="G20" s="300">
        <v>172900</v>
      </c>
      <c r="J20" s="62"/>
    </row>
    <row r="21" spans="1:10" ht="15">
      <c r="A21" s="20" t="s">
        <v>25</v>
      </c>
      <c r="B21" s="17">
        <v>-166406</v>
      </c>
      <c r="C21" s="17">
        <v>-100309</v>
      </c>
      <c r="D21" s="17">
        <v>-145800</v>
      </c>
      <c r="E21" s="17">
        <v>-97000</v>
      </c>
      <c r="F21" s="17">
        <v>-17000</v>
      </c>
      <c r="G21" s="19">
        <v>-15000</v>
      </c>
      <c r="J21" s="62"/>
    </row>
    <row r="22" spans="1:10" ht="12.75" customHeight="1">
      <c r="A22" s="21" t="s">
        <v>26</v>
      </c>
      <c r="B22" s="263">
        <v>2664</v>
      </c>
      <c r="C22" s="263">
        <v>440</v>
      </c>
      <c r="D22" s="9">
        <v>0</v>
      </c>
      <c r="E22" s="9">
        <v>0</v>
      </c>
      <c r="F22" s="9">
        <v>0</v>
      </c>
      <c r="G22" s="262">
        <v>0</v>
      </c>
      <c r="J22" s="62"/>
    </row>
    <row r="23" spans="1:10" ht="12.75" customHeight="1">
      <c r="A23" s="21" t="s">
        <v>27</v>
      </c>
      <c r="B23" s="263">
        <v>-1015126</v>
      </c>
      <c r="C23" s="263">
        <v>-463287</v>
      </c>
      <c r="D23" s="269">
        <v>-660000</v>
      </c>
      <c r="E23" s="269">
        <v>-310000</v>
      </c>
      <c r="F23" s="269">
        <v>0</v>
      </c>
      <c r="G23" s="269">
        <v>0</v>
      </c>
      <c r="J23" s="62"/>
    </row>
    <row r="24" spans="1:10" ht="15">
      <c r="A24" s="22" t="s">
        <v>28</v>
      </c>
      <c r="B24" s="263"/>
      <c r="C24" s="269">
        <v>-75711</v>
      </c>
      <c r="D24" s="269">
        <v>-132000</v>
      </c>
      <c r="E24" s="269">
        <v>-80000</v>
      </c>
      <c r="F24" s="269">
        <v>0</v>
      </c>
      <c r="G24" s="269">
        <v>0</v>
      </c>
      <c r="J24" s="62"/>
    </row>
    <row r="25" spans="1:7" ht="12.75" customHeight="1">
      <c r="A25" s="23" t="s">
        <v>29</v>
      </c>
      <c r="B25" s="263">
        <v>876944</v>
      </c>
      <c r="C25" s="293">
        <v>387576</v>
      </c>
      <c r="D25" s="269">
        <v>528000</v>
      </c>
      <c r="E25" s="269">
        <v>230000</v>
      </c>
      <c r="F25" s="269">
        <v>0</v>
      </c>
      <c r="G25" s="269">
        <v>0</v>
      </c>
    </row>
    <row r="26" spans="1:7" ht="12.75" customHeight="1">
      <c r="A26" s="21" t="s">
        <v>30</v>
      </c>
      <c r="B26" s="263">
        <v>-20148</v>
      </c>
      <c r="C26" s="263">
        <v>-9538</v>
      </c>
      <c r="D26" s="9"/>
      <c r="E26" s="9"/>
      <c r="F26" s="9"/>
      <c r="G26" s="262"/>
    </row>
    <row r="27" spans="1:10" ht="12.75" customHeight="1">
      <c r="A27" s="24" t="s">
        <v>31</v>
      </c>
      <c r="B27" s="263">
        <v>0</v>
      </c>
      <c r="C27" s="263">
        <v>0</v>
      </c>
      <c r="D27" s="9"/>
      <c r="E27" s="9"/>
      <c r="F27" s="9"/>
      <c r="G27" s="262"/>
      <c r="J27" s="62"/>
    </row>
    <row r="28" spans="1:7" ht="12.75" customHeight="1">
      <c r="A28" s="24" t="s">
        <v>32</v>
      </c>
      <c r="B28" s="263">
        <v>0</v>
      </c>
      <c r="C28" s="263">
        <v>0</v>
      </c>
      <c r="D28" s="9"/>
      <c r="E28" s="9"/>
      <c r="F28" s="9"/>
      <c r="G28" s="262"/>
    </row>
    <row r="29" spans="1:7" ht="12.75" customHeight="1">
      <c r="A29" s="25" t="s">
        <v>33</v>
      </c>
      <c r="B29" s="271">
        <v>0</v>
      </c>
      <c r="C29" s="271">
        <v>0</v>
      </c>
      <c r="D29" s="9"/>
      <c r="E29" s="9"/>
      <c r="F29" s="9"/>
      <c r="G29" s="262"/>
    </row>
    <row r="30" spans="1:7" ht="12.75" customHeight="1">
      <c r="A30" s="26" t="s">
        <v>34</v>
      </c>
      <c r="B30" s="263">
        <v>0</v>
      </c>
      <c r="C30" s="263">
        <v>0</v>
      </c>
      <c r="D30" s="272"/>
      <c r="E30" s="9"/>
      <c r="F30" s="9"/>
      <c r="G30" s="262"/>
    </row>
    <row r="31" spans="1:7" ht="12.75" customHeight="1">
      <c r="A31" s="27" t="s">
        <v>35</v>
      </c>
      <c r="B31" s="273">
        <v>40</v>
      </c>
      <c r="C31" s="273">
        <v>0</v>
      </c>
      <c r="D31" s="9"/>
      <c r="E31" s="9"/>
      <c r="F31" s="9"/>
      <c r="G31" s="262"/>
    </row>
    <row r="32" spans="1:7" ht="15">
      <c r="A32" s="27" t="s">
        <v>36</v>
      </c>
      <c r="B32" s="263">
        <v>-10780</v>
      </c>
      <c r="C32" s="263">
        <v>-15500</v>
      </c>
      <c r="D32" s="9">
        <v>-13800</v>
      </c>
      <c r="E32" s="9">
        <v>-17000</v>
      </c>
      <c r="F32" s="9">
        <v>-17000</v>
      </c>
      <c r="G32" s="262">
        <v>-15000</v>
      </c>
    </row>
    <row r="33" spans="1:7" ht="15">
      <c r="A33" s="28" t="s">
        <v>37</v>
      </c>
      <c r="B33" s="17">
        <v>-110721</v>
      </c>
      <c r="C33" s="18">
        <v>-4600</v>
      </c>
      <c r="D33" s="18">
        <v>-21400</v>
      </c>
      <c r="E33" s="18">
        <v>36500</v>
      </c>
      <c r="F33" s="18">
        <v>125000</v>
      </c>
      <c r="G33" s="19">
        <v>157900</v>
      </c>
    </row>
    <row r="34" spans="1:7" ht="15">
      <c r="A34" s="28" t="s">
        <v>38</v>
      </c>
      <c r="B34" s="17">
        <v>101470</v>
      </c>
      <c r="C34" s="18">
        <v>-3700</v>
      </c>
      <c r="D34" s="18">
        <v>25700</v>
      </c>
      <c r="E34" s="18">
        <v>-14900</v>
      </c>
      <c r="F34" s="18">
        <v>-120000</v>
      </c>
      <c r="G34" s="19">
        <v>-130000</v>
      </c>
    </row>
    <row r="35" spans="1:7" ht="15">
      <c r="A35" s="29" t="s">
        <v>39</v>
      </c>
      <c r="B35" s="263">
        <v>181827</v>
      </c>
      <c r="C35" s="263">
        <v>76500</v>
      </c>
      <c r="D35" s="9">
        <v>132000</v>
      </c>
      <c r="E35" s="9">
        <v>60000</v>
      </c>
      <c r="F35" s="9">
        <v>0</v>
      </c>
      <c r="G35" s="262">
        <v>0</v>
      </c>
    </row>
    <row r="36" spans="1:7" ht="15">
      <c r="A36" s="29" t="s">
        <v>40</v>
      </c>
      <c r="B36" s="263">
        <v>-80357</v>
      </c>
      <c r="C36" s="263">
        <v>-80200</v>
      </c>
      <c r="D36" s="9">
        <v>-106300</v>
      </c>
      <c r="E36" s="9">
        <v>-74900</v>
      </c>
      <c r="F36" s="9">
        <v>-120000</v>
      </c>
      <c r="G36" s="262">
        <v>-130000</v>
      </c>
    </row>
    <row r="37" spans="1:7" ht="26.25">
      <c r="A37" s="30" t="s">
        <v>41</v>
      </c>
      <c r="B37" s="263">
        <v>-9251</v>
      </c>
      <c r="C37" s="274">
        <v>-8300</v>
      </c>
      <c r="D37" s="275">
        <v>4300</v>
      </c>
      <c r="E37" s="276">
        <v>21600</v>
      </c>
      <c r="F37" s="277">
        <v>5000</v>
      </c>
      <c r="G37" s="278">
        <v>27900</v>
      </c>
    </row>
    <row r="38" spans="1:7" ht="39">
      <c r="A38" s="30" t="s">
        <v>42</v>
      </c>
      <c r="B38" s="263">
        <v>0</v>
      </c>
      <c r="C38" s="263">
        <v>0</v>
      </c>
      <c r="D38" s="9">
        <v>0</v>
      </c>
      <c r="E38" s="9">
        <v>0</v>
      </c>
      <c r="F38" s="9">
        <v>0</v>
      </c>
      <c r="G38" s="262">
        <v>0</v>
      </c>
    </row>
    <row r="39" spans="1:7" ht="15">
      <c r="A39" s="31"/>
      <c r="B39" s="32"/>
      <c r="C39" s="32"/>
      <c r="D39" s="33"/>
      <c r="E39" s="33"/>
      <c r="F39" s="33"/>
      <c r="G39" s="34"/>
    </row>
    <row r="40" spans="1:7" ht="13.5" customHeight="1">
      <c r="A40" s="35" t="s">
        <v>43</v>
      </c>
      <c r="B40" s="279">
        <v>8300</v>
      </c>
      <c r="C40" s="36">
        <v>0</v>
      </c>
      <c r="D40" s="37">
        <v>4300</v>
      </c>
      <c r="E40" s="38">
        <v>25900</v>
      </c>
      <c r="F40" s="39">
        <v>30900</v>
      </c>
      <c r="G40" s="40">
        <v>58800</v>
      </c>
    </row>
    <row r="41" spans="1:7" ht="15">
      <c r="A41" s="41" t="s">
        <v>44</v>
      </c>
      <c r="B41" s="280">
        <v>491637</v>
      </c>
      <c r="C41" s="280">
        <v>487937</v>
      </c>
      <c r="D41" s="294">
        <v>513637</v>
      </c>
      <c r="E41" s="294">
        <v>498737</v>
      </c>
      <c r="F41" s="294">
        <v>378737</v>
      </c>
      <c r="G41" s="294">
        <v>248737</v>
      </c>
    </row>
    <row r="42" spans="1:7" ht="15">
      <c r="A42" s="42" t="s">
        <v>45</v>
      </c>
      <c r="B42" s="282">
        <v>0</v>
      </c>
      <c r="C42" s="282">
        <v>0</v>
      </c>
      <c r="D42" s="9"/>
      <c r="E42" s="9"/>
      <c r="F42" s="9"/>
      <c r="G42" s="283"/>
    </row>
    <row r="43" spans="1:7" ht="15">
      <c r="A43" s="43" t="s">
        <v>46</v>
      </c>
      <c r="B43" s="10">
        <f aca="true" t="shared" si="2" ref="B43:G43">IF(B41-B40&lt;0,0,B41-B40)</f>
        <v>483337</v>
      </c>
      <c r="C43" s="10">
        <f t="shared" si="2"/>
        <v>487937</v>
      </c>
      <c r="D43" s="10">
        <f t="shared" si="2"/>
        <v>509337</v>
      </c>
      <c r="E43" s="10">
        <f t="shared" si="2"/>
        <v>472837</v>
      </c>
      <c r="F43" s="10">
        <f t="shared" si="2"/>
        <v>347837</v>
      </c>
      <c r="G43" s="8">
        <f t="shared" si="2"/>
        <v>189937</v>
      </c>
    </row>
    <row r="44" spans="1:7" ht="15">
      <c r="A44" s="43" t="s">
        <v>47</v>
      </c>
      <c r="B44" s="44">
        <f aca="true" t="shared" si="3" ref="B44:G44">B43/B2</f>
        <v>0.4076103364699414</v>
      </c>
      <c r="C44" s="45">
        <f t="shared" si="3"/>
        <v>0.4616763855154932</v>
      </c>
      <c r="D44" s="45">
        <f t="shared" si="3"/>
        <v>0.4945499563064375</v>
      </c>
      <c r="E44" s="45">
        <f t="shared" si="3"/>
        <v>0.4467891902107153</v>
      </c>
      <c r="F44" s="45">
        <f t="shared" si="3"/>
        <v>0.3104855842185129</v>
      </c>
      <c r="G44" s="46">
        <f t="shared" si="3"/>
        <v>0.1650334520809801</v>
      </c>
    </row>
    <row r="45" spans="1:7" ht="15">
      <c r="A45" s="43" t="s">
        <v>48</v>
      </c>
      <c r="B45" s="10">
        <f aca="true" t="shared" si="4" ref="B45:G45">IF((B20+B18)*6&gt;B2,B2+B42,IF((B20+B18)*6&lt;0.6*B2,0.6*B2+B42,(B20+B18)*6+B42))</f>
        <v>711469.2</v>
      </c>
      <c r="C45" s="10">
        <f t="shared" si="4"/>
        <v>634128.6</v>
      </c>
      <c r="D45" s="10">
        <f t="shared" si="4"/>
        <v>746400</v>
      </c>
      <c r="E45" s="10">
        <f t="shared" si="4"/>
        <v>801000</v>
      </c>
      <c r="F45" s="10">
        <f t="shared" si="4"/>
        <v>852000</v>
      </c>
      <c r="G45" s="8">
        <f t="shared" si="4"/>
        <v>1037400</v>
      </c>
    </row>
    <row r="46" spans="1:7" ht="15">
      <c r="A46" s="43" t="s">
        <v>49</v>
      </c>
      <c r="B46" s="44">
        <f aca="true" t="shared" si="5" ref="B46:G46">B45/B2</f>
        <v>0.6</v>
      </c>
      <c r="C46" s="45">
        <f t="shared" si="5"/>
        <v>0.6</v>
      </c>
      <c r="D46" s="45">
        <f t="shared" si="5"/>
        <v>0.7247305563646956</v>
      </c>
      <c r="E46" s="45">
        <f t="shared" si="5"/>
        <v>0.7568742322592837</v>
      </c>
      <c r="F46" s="45">
        <f t="shared" si="5"/>
        <v>0.7605105775238775</v>
      </c>
      <c r="G46" s="46">
        <f t="shared" si="5"/>
        <v>0.9013815275002173</v>
      </c>
    </row>
    <row r="47" spans="1:7" ht="15">
      <c r="A47" s="43" t="s">
        <v>50</v>
      </c>
      <c r="B47" s="10">
        <f aca="true" t="shared" si="6" ref="B47:G47">B45-B43</f>
        <v>228132.19999999995</v>
      </c>
      <c r="C47" s="7">
        <f t="shared" si="6"/>
        <v>146191.59999999998</v>
      </c>
      <c r="D47" s="7">
        <f t="shared" si="6"/>
        <v>237063</v>
      </c>
      <c r="E47" s="7">
        <f t="shared" si="6"/>
        <v>328163</v>
      </c>
      <c r="F47" s="7">
        <f t="shared" si="6"/>
        <v>504163</v>
      </c>
      <c r="G47" s="8">
        <f t="shared" si="6"/>
        <v>847463</v>
      </c>
    </row>
    <row r="48" spans="1:7" ht="15">
      <c r="A48" s="47"/>
      <c r="B48" s="48"/>
      <c r="C48" s="49"/>
      <c r="D48" s="49"/>
      <c r="E48" s="49"/>
      <c r="F48" s="49"/>
      <c r="G48" s="50"/>
    </row>
    <row r="49" spans="1:9" s="60" customFormat="1" ht="15.75" thickBot="1">
      <c r="A49" s="51" t="s">
        <v>51</v>
      </c>
      <c r="B49" s="52">
        <f aca="true" t="shared" si="7" ref="B49:G49">B33+B34-B37+B38</f>
        <v>0</v>
      </c>
      <c r="C49" s="52">
        <f t="shared" si="7"/>
        <v>0</v>
      </c>
      <c r="D49" s="52">
        <f>D33+D34-D37+D38</f>
        <v>0</v>
      </c>
      <c r="E49" s="52">
        <f t="shared" si="7"/>
        <v>0</v>
      </c>
      <c r="F49" s="52">
        <f t="shared" si="7"/>
        <v>0</v>
      </c>
      <c r="G49" s="53">
        <f t="shared" si="7"/>
        <v>0</v>
      </c>
      <c r="H49"/>
      <c r="I49" s="243"/>
    </row>
    <row r="50" spans="1:7" ht="15">
      <c r="A50" s="54"/>
      <c r="B50" s="55"/>
      <c r="C50" s="55"/>
      <c r="D50" s="55"/>
      <c r="E50" s="55"/>
      <c r="F50" s="55"/>
      <c r="G50" s="55"/>
    </row>
    <row r="51" spans="1:7" ht="15">
      <c r="A51" s="56" t="s">
        <v>52</v>
      </c>
      <c r="B51" s="57" t="s">
        <v>53</v>
      </c>
      <c r="C51" s="58">
        <f>C2/B2-1</f>
        <v>-0.10870547874735825</v>
      </c>
      <c r="D51" s="58">
        <f>D2/C2-1</f>
        <v>-0.02552889114290069</v>
      </c>
      <c r="E51" s="58">
        <f>E2/D2-1</f>
        <v>0.0275754927662879</v>
      </c>
      <c r="F51" s="58">
        <f>F2/E2-1</f>
        <v>0.058584522347160606</v>
      </c>
      <c r="G51" s="58">
        <f>G2/F2-1</f>
        <v>0.0273141122913505</v>
      </c>
    </row>
    <row r="52" spans="1:7" ht="15">
      <c r="A52" s="56" t="s">
        <v>54</v>
      </c>
      <c r="B52" s="57" t="s">
        <v>53</v>
      </c>
      <c r="C52" s="58">
        <f>C13/B13-1</f>
        <v>-0.14947831911773946</v>
      </c>
      <c r="D52" s="58">
        <f>D13/C13-1</f>
        <v>-0.05792095483430648</v>
      </c>
      <c r="E52" s="58">
        <f>E13/D13-1</f>
        <v>0.02131419105466592</v>
      </c>
      <c r="F52" s="58">
        <f>F13/E13-1</f>
        <v>0.057850346020761334</v>
      </c>
      <c r="G52" s="58">
        <f>G13/F13-1</f>
        <v>-0.00030665440049060244</v>
      </c>
    </row>
    <row r="53" spans="1:7" ht="15">
      <c r="A53" s="56" t="s">
        <v>55</v>
      </c>
      <c r="B53" s="59">
        <f aca="true" t="shared" si="8" ref="B53:G53">B2/B13</f>
        <v>1.0492745313012954</v>
      </c>
      <c r="C53" s="59">
        <f t="shared" si="8"/>
        <v>1.0995753101422014</v>
      </c>
      <c r="D53" s="59">
        <f t="shared" si="8"/>
        <v>1.1373826615129763</v>
      </c>
      <c r="E53" s="59">
        <f t="shared" si="8"/>
        <v>1.14435553633218</v>
      </c>
      <c r="F53" s="59">
        <f t="shared" si="8"/>
        <v>1.145149749565573</v>
      </c>
      <c r="G53" s="59">
        <f t="shared" si="8"/>
        <v>1.1767893660531696</v>
      </c>
    </row>
    <row r="54" ht="15.75" thickBot="1"/>
    <row r="55" spans="1:11" ht="42.75" customHeight="1" thickBot="1">
      <c r="A55" s="63" t="s">
        <v>57</v>
      </c>
      <c r="B55" s="2"/>
      <c r="C55" s="2" t="s">
        <v>1</v>
      </c>
      <c r="D55" s="2" t="s">
        <v>2</v>
      </c>
      <c r="E55" s="2" t="s">
        <v>3</v>
      </c>
      <c r="F55" s="2" t="s">
        <v>4</v>
      </c>
      <c r="G55" s="2" t="s">
        <v>5</v>
      </c>
      <c r="K55" s="62"/>
    </row>
    <row r="56" spans="1:7" ht="26.25">
      <c r="A56" s="43" t="s">
        <v>102</v>
      </c>
      <c r="B56" s="284"/>
      <c r="C56" s="284">
        <f>SUM(C57:C58)</f>
        <v>0</v>
      </c>
      <c r="D56" s="284">
        <f>SUM(D57:D58)</f>
        <v>120000</v>
      </c>
      <c r="E56" s="284">
        <f>SUM(E57:E58)</f>
        <v>0</v>
      </c>
      <c r="F56" s="284">
        <f>SUM(F57:F58)</f>
        <v>0</v>
      </c>
      <c r="G56" s="285">
        <f>SUM(G57:G58)</f>
        <v>0</v>
      </c>
    </row>
    <row r="57" spans="1:7" ht="15">
      <c r="A57" s="64" t="s">
        <v>59</v>
      </c>
      <c r="B57" s="270"/>
      <c r="C57" s="286"/>
      <c r="D57" s="286">
        <v>96000</v>
      </c>
      <c r="E57" s="9"/>
      <c r="F57" s="9"/>
      <c r="G57" s="262"/>
    </row>
    <row r="58" spans="1:7" ht="15">
      <c r="A58" s="64" t="s">
        <v>60</v>
      </c>
      <c r="B58" s="270"/>
      <c r="C58" s="286"/>
      <c r="D58" s="286">
        <v>24000</v>
      </c>
      <c r="E58" s="9"/>
      <c r="F58" s="9"/>
      <c r="G58" s="262"/>
    </row>
    <row r="59" spans="1:7" ht="13.5" customHeight="1">
      <c r="A59" s="43" t="s">
        <v>103</v>
      </c>
      <c r="B59" s="284"/>
      <c r="C59" s="284">
        <f>SUM(C60:C61)</f>
        <v>0</v>
      </c>
      <c r="D59" s="284">
        <f>SUM(D60:D61)</f>
        <v>480000</v>
      </c>
      <c r="E59" s="284">
        <f>SUM(E60:E61)</f>
        <v>0</v>
      </c>
      <c r="F59" s="284">
        <f>SUM(F60:F61)</f>
        <v>0</v>
      </c>
      <c r="G59" s="285">
        <f>SUM(G60:G61)</f>
        <v>0</v>
      </c>
    </row>
    <row r="60" spans="1:7" ht="13.5" customHeight="1">
      <c r="A60" s="64" t="s">
        <v>59</v>
      </c>
      <c r="B60" s="270"/>
      <c r="C60" s="286"/>
      <c r="D60" s="286">
        <v>384000</v>
      </c>
      <c r="E60" s="9"/>
      <c r="F60" s="9"/>
      <c r="G60" s="262"/>
    </row>
    <row r="61" spans="1:7" ht="13.5" customHeight="1">
      <c r="A61" s="64" t="s">
        <v>60</v>
      </c>
      <c r="B61" s="270"/>
      <c r="C61" s="286"/>
      <c r="D61" s="286">
        <v>96000</v>
      </c>
      <c r="E61" s="9"/>
      <c r="F61" s="9"/>
      <c r="G61" s="262"/>
    </row>
    <row r="62" spans="1:7" ht="13.5" customHeight="1">
      <c r="A62" s="43" t="s">
        <v>104</v>
      </c>
      <c r="B62" s="284"/>
      <c r="C62" s="284">
        <f>SUM(C63:C64)</f>
        <v>0</v>
      </c>
      <c r="D62" s="284">
        <f>SUM(D63:D64)</f>
        <v>60000</v>
      </c>
      <c r="E62" s="284">
        <f>SUM(E63:E64)</f>
        <v>0</v>
      </c>
      <c r="F62" s="284">
        <f>SUM(F63:F64)</f>
        <v>0</v>
      </c>
      <c r="G62" s="285">
        <f>SUM(G63:G64)</f>
        <v>0</v>
      </c>
    </row>
    <row r="63" spans="1:7" ht="13.5" customHeight="1">
      <c r="A63" s="64" t="s">
        <v>59</v>
      </c>
      <c r="B63" s="270"/>
      <c r="C63" s="286"/>
      <c r="D63" s="286">
        <v>48000</v>
      </c>
      <c r="E63" s="9"/>
      <c r="F63" s="9"/>
      <c r="G63" s="262"/>
    </row>
    <row r="64" spans="1:7" ht="13.5" customHeight="1">
      <c r="A64" s="64" t="s">
        <v>60</v>
      </c>
      <c r="B64" s="270"/>
      <c r="C64" s="286"/>
      <c r="D64" s="286">
        <v>12000</v>
      </c>
      <c r="E64" s="9"/>
      <c r="F64" s="9"/>
      <c r="G64" s="262"/>
    </row>
    <row r="65" spans="1:7" ht="13.5" customHeight="1">
      <c r="A65" s="43" t="s">
        <v>105</v>
      </c>
      <c r="B65" s="284"/>
      <c r="C65" s="284">
        <f>SUM(C66:C67)</f>
        <v>0</v>
      </c>
      <c r="D65" s="284">
        <f>SUM(D66:D67)</f>
        <v>0</v>
      </c>
      <c r="E65" s="284">
        <f>SUM(E66:E67)</f>
        <v>280000</v>
      </c>
      <c r="F65" s="284">
        <f>SUM(F66:F67)</f>
        <v>0</v>
      </c>
      <c r="G65" s="285">
        <f>SUM(G66:G67)</f>
        <v>0</v>
      </c>
    </row>
    <row r="66" spans="1:7" ht="13.5" customHeight="1">
      <c r="A66" s="64" t="s">
        <v>59</v>
      </c>
      <c r="B66" s="270"/>
      <c r="C66" s="286"/>
      <c r="D66" s="286"/>
      <c r="E66" s="9">
        <v>230000</v>
      </c>
      <c r="F66" s="9"/>
      <c r="G66" s="262"/>
    </row>
    <row r="67" spans="1:21" ht="13.5" customHeight="1">
      <c r="A67" s="64" t="s">
        <v>60</v>
      </c>
      <c r="B67" s="270"/>
      <c r="C67" s="286"/>
      <c r="D67" s="286"/>
      <c r="E67" s="9">
        <v>50000</v>
      </c>
      <c r="F67" s="9"/>
      <c r="G67" s="2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</row>
    <row r="68" spans="1:21" ht="13.5" customHeight="1">
      <c r="A68" s="65" t="s">
        <v>64</v>
      </c>
      <c r="B68" s="270"/>
      <c r="C68" s="9"/>
      <c r="D68" s="9"/>
      <c r="E68" s="9"/>
      <c r="F68" s="9"/>
      <c r="G68" s="2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</row>
    <row r="69" spans="1:7" ht="15">
      <c r="A69" s="65"/>
      <c r="B69" s="270"/>
      <c r="C69" s="9"/>
      <c r="D69" s="9"/>
      <c r="E69" s="9"/>
      <c r="F69" s="9"/>
      <c r="G69" s="262"/>
    </row>
    <row r="70" spans="1:7" ht="15">
      <c r="A70" s="43" t="s">
        <v>65</v>
      </c>
      <c r="B70" s="284"/>
      <c r="C70" s="284">
        <f>SUM(C71:C72)</f>
        <v>463287</v>
      </c>
      <c r="D70" s="284">
        <f>SUM(D71:D72)</f>
        <v>0</v>
      </c>
      <c r="E70" s="284">
        <f>SUM(E71:E72)</f>
        <v>30000</v>
      </c>
      <c r="F70" s="284">
        <f>SUM(F71:F72)</f>
        <v>0</v>
      </c>
      <c r="G70" s="285">
        <f>SUM(G71:G72)</f>
        <v>0</v>
      </c>
    </row>
    <row r="71" spans="1:7" ht="15">
      <c r="A71" s="64" t="s">
        <v>59</v>
      </c>
      <c r="B71" s="270"/>
      <c r="C71" s="286">
        <v>387576</v>
      </c>
      <c r="D71" s="286"/>
      <c r="E71" s="9"/>
      <c r="F71" s="9"/>
      <c r="G71" s="262"/>
    </row>
    <row r="72" spans="1:8" s="66" customFormat="1" ht="15">
      <c r="A72" s="64" t="s">
        <v>60</v>
      </c>
      <c r="B72" s="270"/>
      <c r="C72" s="286">
        <v>75711</v>
      </c>
      <c r="D72" s="286"/>
      <c r="E72" s="9">
        <v>30000</v>
      </c>
      <c r="F72" s="9"/>
      <c r="G72" s="262"/>
      <c r="H72"/>
    </row>
    <row r="73" spans="1:8" s="66" customFormat="1" ht="15">
      <c r="A73" s="67" t="s">
        <v>66</v>
      </c>
      <c r="B73" s="287"/>
      <c r="C73" s="287">
        <f>SUM(C74:C75)</f>
        <v>463287</v>
      </c>
      <c r="D73" s="287">
        <f>SUM(D74:D75)</f>
        <v>660000</v>
      </c>
      <c r="E73" s="287">
        <f>SUM(E74:E75)</f>
        <v>310000</v>
      </c>
      <c r="F73" s="287">
        <f>SUM(F74:F75)</f>
        <v>0</v>
      </c>
      <c r="G73" s="288">
        <f>SUM(G74:G75)</f>
        <v>0</v>
      </c>
      <c r="H73"/>
    </row>
    <row r="74" spans="1:7" ht="15">
      <c r="A74" s="64" t="s">
        <v>59</v>
      </c>
      <c r="B74" s="270"/>
      <c r="C74" s="270">
        <f>C57+C60+C63+C66+C71</f>
        <v>387576</v>
      </c>
      <c r="D74" s="270">
        <f aca="true" t="shared" si="9" ref="D74:G75">D57+D60+D63+D66+D71</f>
        <v>528000</v>
      </c>
      <c r="E74" s="270">
        <f t="shared" si="9"/>
        <v>230000</v>
      </c>
      <c r="F74" s="270">
        <f t="shared" si="9"/>
        <v>0</v>
      </c>
      <c r="G74" s="289">
        <f t="shared" si="9"/>
        <v>0</v>
      </c>
    </row>
    <row r="75" spans="1:7" ht="15.75" thickBot="1">
      <c r="A75" s="64" t="s">
        <v>60</v>
      </c>
      <c r="B75" s="290"/>
      <c r="C75" s="290">
        <f>C58+C61+C64+C67+C72</f>
        <v>75711</v>
      </c>
      <c r="D75" s="290">
        <f t="shared" si="9"/>
        <v>132000</v>
      </c>
      <c r="E75" s="290">
        <f t="shared" si="9"/>
        <v>80000</v>
      </c>
      <c r="F75" s="290">
        <f t="shared" si="9"/>
        <v>0</v>
      </c>
      <c r="G75" s="291">
        <f t="shared" si="9"/>
        <v>0</v>
      </c>
    </row>
    <row r="76" ht="19.5" customHeight="1">
      <c r="A76" s="68" t="s">
        <v>67</v>
      </c>
    </row>
    <row r="80" ht="15">
      <c r="C80" s="9"/>
    </row>
    <row r="87" ht="15">
      <c r="A87" s="60"/>
    </row>
  </sheetData>
  <sheetProtection/>
  <conditionalFormatting sqref="B47:G47 C20">
    <cfRule type="cellIs" priority="1" dxfId="10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87"/>
  <sheetViews>
    <sheetView tabSelected="1" zoomScalePageLayoutView="0" workbookViewId="0" topLeftCell="A7">
      <selection activeCell="H14" sqref="H14"/>
    </sheetView>
  </sheetViews>
  <sheetFormatPr defaultColWidth="9.140625" defaultRowHeight="15"/>
  <cols>
    <col min="1" max="1" width="44.140625" style="0" customWidth="1"/>
    <col min="2" max="2" width="9.00390625" style="0" customWidth="1"/>
    <col min="3" max="3" width="9.421875" style="0" customWidth="1"/>
    <col min="4" max="4" width="10.28125" style="0" customWidth="1"/>
    <col min="5" max="5" width="9.7109375" style="0" customWidth="1"/>
    <col min="6" max="6" width="9.8515625" style="0" customWidth="1"/>
    <col min="7" max="7" width="11.7109375" style="0" customWidth="1"/>
    <col min="8" max="8" width="36.140625" style="0" customWidth="1"/>
    <col min="9" max="9" width="25.57421875" style="0" customWidth="1"/>
    <col min="10" max="10" width="49.57421875" style="0" customWidth="1"/>
  </cols>
  <sheetData>
    <row r="1" spans="1:10" ht="48" customHeight="1" thickBot="1">
      <c r="A1" s="295" t="s">
        <v>106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I1" s="258" t="s">
        <v>90</v>
      </c>
      <c r="J1" s="292" t="s">
        <v>91</v>
      </c>
    </row>
    <row r="2" spans="1:9" ht="15" customHeight="1">
      <c r="A2" s="3" t="s">
        <v>6</v>
      </c>
      <c r="B2" s="4">
        <f aca="true" t="shared" si="0" ref="B2:G2">B3+B7+B8+B12</f>
        <v>1230357.91</v>
      </c>
      <c r="C2" s="4">
        <f t="shared" si="0"/>
        <v>1387569.13</v>
      </c>
      <c r="D2" s="4">
        <f t="shared" si="0"/>
        <v>1283447.496611938</v>
      </c>
      <c r="E2" s="4">
        <f t="shared" si="0"/>
        <v>1282507.4252390706</v>
      </c>
      <c r="F2" s="4">
        <f t="shared" si="0"/>
        <v>1314065.0038845423</v>
      </c>
      <c r="G2" s="5">
        <f t="shared" si="0"/>
        <v>1367392.488155093</v>
      </c>
      <c r="I2" s="260" t="s">
        <v>92</v>
      </c>
    </row>
    <row r="3" spans="1:7" ht="15">
      <c r="A3" s="6" t="s">
        <v>7</v>
      </c>
      <c r="B3" s="7">
        <f aca="true" t="shared" si="1" ref="B3:G3">SUM(B4:B6)</f>
        <v>728850</v>
      </c>
      <c r="C3" s="7">
        <f t="shared" si="1"/>
        <v>778230</v>
      </c>
      <c r="D3" s="7">
        <f t="shared" si="1"/>
        <v>804000.4966119381</v>
      </c>
      <c r="E3" s="7">
        <f t="shared" si="1"/>
        <v>853999.6812390705</v>
      </c>
      <c r="F3" s="7">
        <f t="shared" si="1"/>
        <v>883999.6150525423</v>
      </c>
      <c r="G3" s="8">
        <f t="shared" si="1"/>
        <v>934000.4568246291</v>
      </c>
    </row>
    <row r="4" spans="1:7" ht="15">
      <c r="A4" s="6" t="s">
        <v>8</v>
      </c>
      <c r="B4" s="261">
        <v>611388</v>
      </c>
      <c r="C4" s="261">
        <v>660000</v>
      </c>
      <c r="D4" s="9">
        <v>690000.4966119381</v>
      </c>
      <c r="E4" s="9">
        <v>739999.6812390705</v>
      </c>
      <c r="F4" s="9">
        <v>769999.6150525423</v>
      </c>
      <c r="G4" s="9">
        <v>820000.4568246291</v>
      </c>
    </row>
    <row r="5" spans="1:7" ht="15">
      <c r="A5" s="6" t="s">
        <v>9</v>
      </c>
      <c r="B5" s="261">
        <v>117462</v>
      </c>
      <c r="C5" s="261">
        <v>118230</v>
      </c>
      <c r="D5" s="9">
        <v>114000</v>
      </c>
      <c r="E5" s="9">
        <v>114000</v>
      </c>
      <c r="F5" s="9">
        <v>114000</v>
      </c>
      <c r="G5" s="262">
        <v>114000</v>
      </c>
    </row>
    <row r="6" spans="1:7" ht="15">
      <c r="A6" s="6" t="s">
        <v>10</v>
      </c>
      <c r="B6" s="261">
        <v>0</v>
      </c>
      <c r="C6" s="261">
        <v>0</v>
      </c>
      <c r="D6" s="9"/>
      <c r="E6" s="9"/>
      <c r="F6" s="9"/>
      <c r="G6" s="262"/>
    </row>
    <row r="7" spans="1:7" ht="15">
      <c r="A7" s="6" t="s">
        <v>11</v>
      </c>
      <c r="B7" s="263">
        <v>130231.61</v>
      </c>
      <c r="C7" s="263">
        <v>145798</v>
      </c>
      <c r="D7" s="9">
        <v>138298</v>
      </c>
      <c r="E7" s="9">
        <v>131758.744</v>
      </c>
      <c r="F7" s="9">
        <v>135316.388832</v>
      </c>
      <c r="G7" s="262">
        <v>138843.031330464</v>
      </c>
    </row>
    <row r="8" spans="1:7" ht="15">
      <c r="A8" s="6" t="s">
        <v>12</v>
      </c>
      <c r="B8" s="10">
        <v>357492.58</v>
      </c>
      <c r="C8" s="7">
        <v>442291.13</v>
      </c>
      <c r="D8" s="7">
        <v>323749</v>
      </c>
      <c r="E8" s="7">
        <v>279349</v>
      </c>
      <c r="F8" s="7">
        <v>277349</v>
      </c>
      <c r="G8" s="8">
        <v>277149</v>
      </c>
    </row>
    <row r="9" spans="1:10" ht="15">
      <c r="A9" s="6" t="s">
        <v>13</v>
      </c>
      <c r="B9" s="263">
        <v>0</v>
      </c>
      <c r="C9" s="263">
        <v>0</v>
      </c>
      <c r="D9" s="9"/>
      <c r="E9" s="9"/>
      <c r="F9" s="9"/>
      <c r="G9" s="262"/>
      <c r="I9" s="62"/>
      <c r="J9" s="62"/>
    </row>
    <row r="10" spans="1:7" ht="15">
      <c r="A10" s="6" t="s">
        <v>14</v>
      </c>
      <c r="B10" s="263">
        <v>204757</v>
      </c>
      <c r="C10" s="263">
        <v>217776</v>
      </c>
      <c r="D10" s="9">
        <v>217776</v>
      </c>
      <c r="E10" s="9">
        <v>217776</v>
      </c>
      <c r="F10" s="9">
        <v>217776</v>
      </c>
      <c r="G10" s="262">
        <v>217776</v>
      </c>
    </row>
    <row r="11" spans="1:7" ht="15">
      <c r="A11" s="6" t="s">
        <v>15</v>
      </c>
      <c r="B11" s="263">
        <v>152735.58000000002</v>
      </c>
      <c r="C11" s="263">
        <v>224515.13</v>
      </c>
      <c r="D11" s="9">
        <v>105973</v>
      </c>
      <c r="E11" s="9">
        <v>61573</v>
      </c>
      <c r="F11" s="9">
        <v>59573</v>
      </c>
      <c r="G11" s="262">
        <v>59373</v>
      </c>
    </row>
    <row r="12" spans="1:7" ht="15">
      <c r="A12" s="6" t="s">
        <v>16</v>
      </c>
      <c r="B12" s="263">
        <v>13783.72</v>
      </c>
      <c r="C12" s="263">
        <v>21250</v>
      </c>
      <c r="D12" s="9">
        <v>17400</v>
      </c>
      <c r="E12" s="9">
        <v>17400</v>
      </c>
      <c r="F12" s="9">
        <v>17400</v>
      </c>
      <c r="G12" s="262">
        <v>17400</v>
      </c>
    </row>
    <row r="13" spans="1:7" ht="15">
      <c r="A13" s="11" t="s">
        <v>17</v>
      </c>
      <c r="B13" s="12">
        <v>1167939.2299999997</v>
      </c>
      <c r="C13" s="12">
        <v>1299174.2700000003</v>
      </c>
      <c r="D13" s="13">
        <v>1223576</v>
      </c>
      <c r="E13" s="13">
        <v>1165714.582252391</v>
      </c>
      <c r="F13" s="13">
        <v>1180251.9882628454</v>
      </c>
      <c r="G13" s="14">
        <v>1194883.1602375987</v>
      </c>
    </row>
    <row r="14" spans="1:7" ht="15">
      <c r="A14" s="6" t="s">
        <v>18</v>
      </c>
      <c r="B14" s="263">
        <v>76341.18000000001</v>
      </c>
      <c r="C14" s="263">
        <v>76219.73</v>
      </c>
      <c r="D14" s="9">
        <v>53703</v>
      </c>
      <c r="E14" s="9">
        <v>53005</v>
      </c>
      <c r="F14" s="9">
        <v>53005</v>
      </c>
      <c r="G14" s="262">
        <v>53005</v>
      </c>
    </row>
    <row r="15" spans="1:7" ht="15">
      <c r="A15" s="6" t="s">
        <v>19</v>
      </c>
      <c r="B15" s="10">
        <v>1091598.0499999998</v>
      </c>
      <c r="C15" s="10">
        <v>1222954.5400000003</v>
      </c>
      <c r="D15" s="264">
        <v>1169873</v>
      </c>
      <c r="E15" s="264">
        <v>1112709.582252391</v>
      </c>
      <c r="F15" s="264">
        <v>1127246.9882628454</v>
      </c>
      <c r="G15" s="265">
        <v>1141878.1602375987</v>
      </c>
    </row>
    <row r="16" spans="1:7" ht="15">
      <c r="A16" s="6" t="s">
        <v>20</v>
      </c>
      <c r="B16" s="263">
        <v>600783.97</v>
      </c>
      <c r="C16" s="263">
        <v>633593.56</v>
      </c>
      <c r="D16" s="9">
        <v>594962</v>
      </c>
      <c r="E16" s="9">
        <v>591962</v>
      </c>
      <c r="F16" s="9">
        <v>591962</v>
      </c>
      <c r="G16" s="262">
        <v>591962</v>
      </c>
    </row>
    <row r="17" spans="1:7" ht="15">
      <c r="A17" s="6" t="s">
        <v>21</v>
      </c>
      <c r="B17" s="263">
        <v>486150.45</v>
      </c>
      <c r="C17" s="263">
        <v>582557.14</v>
      </c>
      <c r="D17" s="9">
        <v>567811</v>
      </c>
      <c r="E17" s="9">
        <v>507305.708</v>
      </c>
      <c r="F17" s="9">
        <v>521510.26782400004</v>
      </c>
      <c r="G17" s="262">
        <v>535591.045055248</v>
      </c>
    </row>
    <row r="18" spans="1:7" ht="15">
      <c r="A18" s="15" t="s">
        <v>22</v>
      </c>
      <c r="B18" s="266"/>
      <c r="C18" s="266">
        <v>6236.92</v>
      </c>
      <c r="D18" s="267">
        <v>6416.59</v>
      </c>
      <c r="E18" s="267">
        <v>6437.4400000000005</v>
      </c>
      <c r="F18" s="267">
        <v>6459.07</v>
      </c>
      <c r="G18" s="268">
        <v>6481.55</v>
      </c>
    </row>
    <row r="19" spans="1:7" ht="15">
      <c r="A19" s="6" t="s">
        <v>23</v>
      </c>
      <c r="B19" s="263">
        <v>4663.63</v>
      </c>
      <c r="C19" s="263">
        <v>6803.84</v>
      </c>
      <c r="D19" s="9">
        <v>7100</v>
      </c>
      <c r="E19" s="9">
        <v>13441.874252390706</v>
      </c>
      <c r="F19" s="9">
        <v>13774.720438845423</v>
      </c>
      <c r="G19" s="262">
        <v>14325.115182350932</v>
      </c>
    </row>
    <row r="20" spans="1:10" ht="15">
      <c r="A20" s="297" t="s">
        <v>24</v>
      </c>
      <c r="B20" s="298">
        <v>62418.68000000017</v>
      </c>
      <c r="C20" s="299">
        <v>88394.85999999964</v>
      </c>
      <c r="D20" s="299">
        <v>59871.49661193811</v>
      </c>
      <c r="E20" s="299">
        <v>116792.84298667964</v>
      </c>
      <c r="F20" s="299">
        <v>133813.01562169683</v>
      </c>
      <c r="G20" s="300">
        <v>172509.32791749435</v>
      </c>
      <c r="J20" s="62"/>
    </row>
    <row r="21" spans="1:10" ht="15">
      <c r="A21" s="20" t="s">
        <v>25</v>
      </c>
      <c r="B21" s="17">
        <v>-13443.799999999997</v>
      </c>
      <c r="C21" s="17">
        <v>-149478.86</v>
      </c>
      <c r="D21" s="17">
        <v>-59696.54</v>
      </c>
      <c r="E21" s="17">
        <v>-41086.96</v>
      </c>
      <c r="F21" s="17">
        <v>-79195.02</v>
      </c>
      <c r="G21" s="19">
        <v>-133100.68</v>
      </c>
      <c r="J21" s="62"/>
    </row>
    <row r="22" spans="1:10" ht="12.75" customHeight="1">
      <c r="A22" s="21" t="s">
        <v>26</v>
      </c>
      <c r="B22" s="263">
        <v>3195.58</v>
      </c>
      <c r="C22" s="263">
        <v>2700</v>
      </c>
      <c r="D22" s="9">
        <v>60000</v>
      </c>
      <c r="E22" s="9">
        <v>15500</v>
      </c>
      <c r="F22" s="9"/>
      <c r="G22" s="262"/>
      <c r="J22" s="62"/>
    </row>
    <row r="23" spans="1:10" ht="12.75" customHeight="1">
      <c r="A23" s="21" t="s">
        <v>27</v>
      </c>
      <c r="B23" s="263">
        <v>-23769.35</v>
      </c>
      <c r="C23" s="263">
        <v>-258842.56</v>
      </c>
      <c r="D23" s="269">
        <v>-895697</v>
      </c>
      <c r="E23" s="269">
        <v>-50000</v>
      </c>
      <c r="F23" s="269">
        <v>-75000</v>
      </c>
      <c r="G23" s="269">
        <v>-130000</v>
      </c>
      <c r="J23" s="62"/>
    </row>
    <row r="24" spans="1:10" ht="15">
      <c r="A24" s="22" t="s">
        <v>28</v>
      </c>
      <c r="B24" s="263"/>
      <c r="C24" s="269">
        <v>-143957.97999999998</v>
      </c>
      <c r="D24" s="269">
        <v>-110834</v>
      </c>
      <c r="E24" s="269">
        <v>-50000</v>
      </c>
      <c r="F24" s="269">
        <v>-75000</v>
      </c>
      <c r="G24" s="269">
        <v>-130000</v>
      </c>
      <c r="J24" s="62"/>
    </row>
    <row r="25" spans="1:7" ht="12.75" customHeight="1">
      <c r="A25" s="23" t="s">
        <v>29</v>
      </c>
      <c r="B25" s="263">
        <v>28541</v>
      </c>
      <c r="C25" s="293">
        <v>114883.7</v>
      </c>
      <c r="D25" s="269">
        <v>784863</v>
      </c>
      <c r="E25" s="269">
        <v>0</v>
      </c>
      <c r="F25" s="269">
        <v>0</v>
      </c>
      <c r="G25" s="269">
        <v>0</v>
      </c>
    </row>
    <row r="26" spans="1:7" ht="12.75" customHeight="1">
      <c r="A26" s="21" t="s">
        <v>30</v>
      </c>
      <c r="B26" s="263">
        <v>-12782</v>
      </c>
      <c r="C26" s="263">
        <v>0</v>
      </c>
      <c r="D26" s="9"/>
      <c r="E26" s="9"/>
      <c r="F26" s="9"/>
      <c r="G26" s="262"/>
    </row>
    <row r="27" spans="1:10" ht="12.75" customHeight="1">
      <c r="A27" s="24" t="s">
        <v>31</v>
      </c>
      <c r="B27" s="263">
        <v>0</v>
      </c>
      <c r="C27" s="263">
        <v>0</v>
      </c>
      <c r="D27" s="9"/>
      <c r="E27" s="9"/>
      <c r="F27" s="9"/>
      <c r="G27" s="262"/>
      <c r="J27" s="62"/>
    </row>
    <row r="28" spans="1:7" ht="12.75" customHeight="1">
      <c r="A28" s="24" t="s">
        <v>32</v>
      </c>
      <c r="B28" s="263">
        <v>0</v>
      </c>
      <c r="C28" s="263">
        <v>0</v>
      </c>
      <c r="D28" s="9"/>
      <c r="E28" s="9"/>
      <c r="F28" s="9"/>
      <c r="G28" s="262"/>
    </row>
    <row r="29" spans="1:7" ht="12.75" customHeight="1">
      <c r="A29" s="25" t="s">
        <v>33</v>
      </c>
      <c r="B29" s="271">
        <v>0</v>
      </c>
      <c r="C29" s="271">
        <v>0</v>
      </c>
      <c r="D29" s="9"/>
      <c r="E29" s="9"/>
      <c r="F29" s="9"/>
      <c r="G29" s="262"/>
    </row>
    <row r="30" spans="1:7" ht="12.75" customHeight="1">
      <c r="A30" s="26" t="s">
        <v>34</v>
      </c>
      <c r="B30" s="263">
        <v>0</v>
      </c>
      <c r="C30" s="263">
        <v>0</v>
      </c>
      <c r="D30" s="272"/>
      <c r="E30" s="9"/>
      <c r="F30" s="9"/>
      <c r="G30" s="262"/>
    </row>
    <row r="31" spans="1:7" ht="12.75" customHeight="1">
      <c r="A31" s="27" t="s">
        <v>35</v>
      </c>
      <c r="B31" s="273">
        <v>5.57</v>
      </c>
      <c r="C31" s="273">
        <v>100</v>
      </c>
      <c r="D31" s="9">
        <v>120</v>
      </c>
      <c r="E31" s="9">
        <v>150</v>
      </c>
      <c r="F31" s="9">
        <v>170</v>
      </c>
      <c r="G31" s="262">
        <v>200</v>
      </c>
    </row>
    <row r="32" spans="1:7" ht="15">
      <c r="A32" s="27" t="s">
        <v>36</v>
      </c>
      <c r="B32" s="263">
        <v>-8634.6</v>
      </c>
      <c r="C32" s="263">
        <v>-8320</v>
      </c>
      <c r="D32" s="9">
        <v>-8982.539999999999</v>
      </c>
      <c r="E32" s="9">
        <v>-6736.959999999999</v>
      </c>
      <c r="F32" s="9">
        <v>-4365.02</v>
      </c>
      <c r="G32" s="262">
        <v>-3300.68</v>
      </c>
    </row>
    <row r="33" spans="1:7" ht="15">
      <c r="A33" s="28" t="s">
        <v>37</v>
      </c>
      <c r="B33" s="17">
        <v>48974.88000000017</v>
      </c>
      <c r="C33" s="18">
        <v>-61084.00000000035</v>
      </c>
      <c r="D33" s="18">
        <v>174.95661193811247</v>
      </c>
      <c r="E33" s="18">
        <v>75705.88298667964</v>
      </c>
      <c r="F33" s="18">
        <v>54617.99562169683</v>
      </c>
      <c r="G33" s="19">
        <v>39408.64791749435</v>
      </c>
    </row>
    <row r="34" spans="1:7" ht="15">
      <c r="A34" s="28" t="s">
        <v>38</v>
      </c>
      <c r="B34" s="17">
        <v>-78828.48</v>
      </c>
      <c r="C34" s="18">
        <v>109195</v>
      </c>
      <c r="D34" s="18">
        <v>-44117.96</v>
      </c>
      <c r="E34" s="18">
        <v>-79852.07</v>
      </c>
      <c r="F34" s="18">
        <v>-46808.4</v>
      </c>
      <c r="G34" s="19">
        <v>-46808.4</v>
      </c>
    </row>
    <row r="35" spans="1:7" ht="15">
      <c r="A35" s="29" t="s">
        <v>39</v>
      </c>
      <c r="B35" s="263">
        <v>0</v>
      </c>
      <c r="C35" s="263">
        <v>195945</v>
      </c>
      <c r="D35" s="9">
        <v>51055.26</v>
      </c>
      <c r="E35" s="9"/>
      <c r="F35" s="9"/>
      <c r="G35" s="262"/>
    </row>
    <row r="36" spans="1:7" ht="15">
      <c r="A36" s="29" t="s">
        <v>40</v>
      </c>
      <c r="B36" s="263">
        <v>-78828.48</v>
      </c>
      <c r="C36" s="263">
        <v>-86750</v>
      </c>
      <c r="D36" s="9">
        <v>-95173.22</v>
      </c>
      <c r="E36" s="9">
        <v>-79852.07</v>
      </c>
      <c r="F36" s="9">
        <v>-46808.4</v>
      </c>
      <c r="G36" s="262">
        <v>-46808.4</v>
      </c>
    </row>
    <row r="37" spans="1:7" ht="26.25">
      <c r="A37" s="30" t="s">
        <v>41</v>
      </c>
      <c r="B37" s="263">
        <v>-29853.6</v>
      </c>
      <c r="C37" s="274">
        <v>48111</v>
      </c>
      <c r="D37" s="275">
        <v>-43943</v>
      </c>
      <c r="E37" s="276">
        <v>-4146</v>
      </c>
      <c r="F37" s="277">
        <v>7810</v>
      </c>
      <c r="G37" s="278">
        <v>-7400</v>
      </c>
    </row>
    <row r="38" spans="1:7" ht="39">
      <c r="A38" s="30" t="s">
        <v>42</v>
      </c>
      <c r="B38" s="263">
        <v>0</v>
      </c>
      <c r="C38" s="263">
        <v>0</v>
      </c>
      <c r="D38" s="9"/>
      <c r="E38" s="9"/>
      <c r="F38" s="9"/>
      <c r="G38" s="262"/>
    </row>
    <row r="39" spans="1:7" ht="15">
      <c r="A39" s="31"/>
      <c r="B39" s="32"/>
      <c r="C39" s="32"/>
      <c r="D39" s="33"/>
      <c r="E39" s="33"/>
      <c r="F39" s="33"/>
      <c r="G39" s="34"/>
    </row>
    <row r="40" spans="1:7" ht="13.5" customHeight="1">
      <c r="A40" s="35" t="s">
        <v>43</v>
      </c>
      <c r="B40" s="279">
        <v>80.43</v>
      </c>
      <c r="C40" s="36">
        <v>48191.43</v>
      </c>
      <c r="D40" s="37">
        <v>4248.43</v>
      </c>
      <c r="E40" s="38">
        <v>102.43000000000029</v>
      </c>
      <c r="F40" s="39">
        <v>7912.43</v>
      </c>
      <c r="G40" s="40">
        <v>512.4300000000003</v>
      </c>
    </row>
    <row r="41" spans="1:7" ht="15">
      <c r="A41" s="41" t="s">
        <v>44</v>
      </c>
      <c r="B41" s="280">
        <v>240360.97</v>
      </c>
      <c r="C41" s="280">
        <v>349555.97</v>
      </c>
      <c r="D41" s="294">
        <v>305438.00999999995</v>
      </c>
      <c r="E41" s="294">
        <v>225585.93999999994</v>
      </c>
      <c r="F41" s="294">
        <v>178777.53999999995</v>
      </c>
      <c r="G41" s="294">
        <v>131969.13999999996</v>
      </c>
    </row>
    <row r="42" spans="1:7" ht="15">
      <c r="A42" s="42" t="s">
        <v>45</v>
      </c>
      <c r="B42" s="282">
        <v>0</v>
      </c>
      <c r="C42" s="282">
        <v>0</v>
      </c>
      <c r="D42" s="9"/>
      <c r="E42" s="9"/>
      <c r="F42" s="9"/>
      <c r="G42" s="283"/>
    </row>
    <row r="43" spans="1:7" ht="15">
      <c r="A43" s="43" t="s">
        <v>46</v>
      </c>
      <c r="B43" s="10">
        <f aca="true" t="shared" si="2" ref="B43:G43">IF(B41-B40&lt;0,0,B41-B40)</f>
        <v>240280.54</v>
      </c>
      <c r="C43" s="10">
        <f t="shared" si="2"/>
        <v>301364.54</v>
      </c>
      <c r="D43" s="10">
        <f t="shared" si="2"/>
        <v>301189.57999999996</v>
      </c>
      <c r="E43" s="10">
        <f t="shared" si="2"/>
        <v>225483.50999999995</v>
      </c>
      <c r="F43" s="10">
        <f t="shared" si="2"/>
        <v>170865.10999999996</v>
      </c>
      <c r="G43" s="8">
        <f t="shared" si="2"/>
        <v>131456.70999999996</v>
      </c>
    </row>
    <row r="44" spans="1:7" ht="15">
      <c r="A44" s="43" t="s">
        <v>47</v>
      </c>
      <c r="B44" s="44">
        <f aca="true" t="shared" si="3" ref="B44:G44">B43/B2</f>
        <v>0.19529320537306094</v>
      </c>
      <c r="C44" s="45">
        <f t="shared" si="3"/>
        <v>0.21718884737656277</v>
      </c>
      <c r="D44" s="45">
        <f t="shared" si="3"/>
        <v>0.2346723031484219</v>
      </c>
      <c r="E44" s="45">
        <f t="shared" si="3"/>
        <v>0.1758145844324978</v>
      </c>
      <c r="F44" s="45">
        <f t="shared" si="3"/>
        <v>0.13002789777895393</v>
      </c>
      <c r="G44" s="46">
        <f t="shared" si="3"/>
        <v>0.09613677940951934</v>
      </c>
    </row>
    <row r="45" spans="1:7" ht="15">
      <c r="A45" s="43" t="s">
        <v>48</v>
      </c>
      <c r="B45" s="10">
        <f aca="true" t="shared" si="4" ref="B45:G45">IF((B20+B18)*6&gt;B2,B2+B42,IF((B20+B18)*6&lt;0.6*B2,0.6*B2+B42,(B20+B18)*6+B42))</f>
        <v>738214.7459999999</v>
      </c>
      <c r="C45" s="10">
        <f t="shared" si="4"/>
        <v>832541.4779999999</v>
      </c>
      <c r="D45" s="10">
        <f t="shared" si="4"/>
        <v>770068.4979671629</v>
      </c>
      <c r="E45" s="10">
        <f t="shared" si="4"/>
        <v>769504.4551434423</v>
      </c>
      <c r="F45" s="10">
        <f t="shared" si="4"/>
        <v>841632.513730181</v>
      </c>
      <c r="G45" s="8">
        <f t="shared" si="4"/>
        <v>1073945.267504966</v>
      </c>
    </row>
    <row r="46" spans="1:7" ht="15">
      <c r="A46" s="43" t="s">
        <v>49</v>
      </c>
      <c r="B46" s="44">
        <f aca="true" t="shared" si="5" ref="B46:G46">B45/B2</f>
        <v>0.6</v>
      </c>
      <c r="C46" s="45">
        <f t="shared" si="5"/>
        <v>0.6</v>
      </c>
      <c r="D46" s="45">
        <f t="shared" si="5"/>
        <v>0.6</v>
      </c>
      <c r="E46" s="45">
        <f t="shared" si="5"/>
        <v>0.6</v>
      </c>
      <c r="F46" s="45">
        <f t="shared" si="5"/>
        <v>0.640480121791699</v>
      </c>
      <c r="G46" s="46">
        <f t="shared" si="5"/>
        <v>0.7853964950136221</v>
      </c>
    </row>
    <row r="47" spans="1:7" ht="15">
      <c r="A47" s="43" t="s">
        <v>50</v>
      </c>
      <c r="B47" s="10">
        <f aca="true" t="shared" si="6" ref="B47:G47">B45-B43</f>
        <v>497934.2059999999</v>
      </c>
      <c r="C47" s="7">
        <f t="shared" si="6"/>
        <v>531176.9379999998</v>
      </c>
      <c r="D47" s="7">
        <f t="shared" si="6"/>
        <v>468878.9179671629</v>
      </c>
      <c r="E47" s="7">
        <f t="shared" si="6"/>
        <v>544020.9451434424</v>
      </c>
      <c r="F47" s="7">
        <f t="shared" si="6"/>
        <v>670767.403730181</v>
      </c>
      <c r="G47" s="8">
        <f t="shared" si="6"/>
        <v>942488.5575049659</v>
      </c>
    </row>
    <row r="48" spans="1:7" ht="15">
      <c r="A48" s="47"/>
      <c r="B48" s="48"/>
      <c r="C48" s="49"/>
      <c r="D48" s="49"/>
      <c r="E48" s="49"/>
      <c r="F48" s="49"/>
      <c r="G48" s="50"/>
    </row>
    <row r="49" spans="1:9" s="60" customFormat="1" ht="15.75" thickBot="1">
      <c r="A49" s="51" t="s">
        <v>51</v>
      </c>
      <c r="B49" s="52">
        <f aca="true" t="shared" si="7" ref="B49:G49">B33+B34-B37+B38</f>
        <v>1.7462298274040222E-10</v>
      </c>
      <c r="C49" s="52">
        <f t="shared" si="7"/>
        <v>-3.4924596548080444E-10</v>
      </c>
      <c r="D49" s="52">
        <f>D33+D34-D37+D38</f>
        <v>-0.003388061886653304</v>
      </c>
      <c r="E49" s="52">
        <f t="shared" si="7"/>
        <v>-0.18701332036289386</v>
      </c>
      <c r="F49" s="52">
        <f t="shared" si="7"/>
        <v>-0.40437830317387125</v>
      </c>
      <c r="G49" s="53">
        <f t="shared" si="7"/>
        <v>0.2479174943509861</v>
      </c>
      <c r="H49"/>
      <c r="I49" s="243"/>
    </row>
    <row r="50" spans="1:7" ht="15">
      <c r="A50" s="54"/>
      <c r="B50" s="55"/>
      <c r="C50" s="55"/>
      <c r="D50" s="55"/>
      <c r="E50" s="55"/>
      <c r="F50" s="55"/>
      <c r="G50" s="55"/>
    </row>
    <row r="51" spans="1:7" ht="15">
      <c r="A51" s="56" t="s">
        <v>52</v>
      </c>
      <c r="B51" s="57" t="s">
        <v>53</v>
      </c>
      <c r="C51" s="58">
        <f>C2/B2-1</f>
        <v>0.12777681902333615</v>
      </c>
      <c r="D51" s="58">
        <f>D2/C2-1</f>
        <v>-0.07503887996417291</v>
      </c>
      <c r="E51" s="58">
        <f>E2/D2-1</f>
        <v>-0.0007324579893990268</v>
      </c>
      <c r="F51" s="58">
        <f>F2/E2-1</f>
        <v>0.024606156677486002</v>
      </c>
      <c r="G51" s="58">
        <f>G2/F2-1</f>
        <v>0.040582074793033884</v>
      </c>
    </row>
    <row r="52" spans="1:7" ht="15">
      <c r="A52" s="56" t="s">
        <v>54</v>
      </c>
      <c r="B52" s="57" t="s">
        <v>53</v>
      </c>
      <c r="C52" s="58">
        <f>C13/B13-1</f>
        <v>0.11236461335407033</v>
      </c>
      <c r="D52" s="58">
        <f>D13/C13-1</f>
        <v>-0.0581894759969348</v>
      </c>
      <c r="E52" s="58">
        <f>E13/D13-1</f>
        <v>-0.047288781201665464</v>
      </c>
      <c r="F52" s="58">
        <f>F13/E13-1</f>
        <v>0.012470810807192034</v>
      </c>
      <c r="G52" s="58">
        <f>G13/F13-1</f>
        <v>0.012396650986615354</v>
      </c>
    </row>
    <row r="53" spans="1:7" ht="15">
      <c r="A53" s="56" t="s">
        <v>55</v>
      </c>
      <c r="B53" s="59">
        <f aca="true" t="shared" si="8" ref="B53:G53">B2/B13</f>
        <v>1.0534434312990755</v>
      </c>
      <c r="C53" s="59">
        <f t="shared" si="8"/>
        <v>1.068039263123645</v>
      </c>
      <c r="D53" s="59">
        <f t="shared" si="8"/>
        <v>1.0489315715672243</v>
      </c>
      <c r="E53" s="59">
        <f t="shared" si="8"/>
        <v>1.1001899133499837</v>
      </c>
      <c r="F53" s="59">
        <f t="shared" si="8"/>
        <v>1.1133766491837473</v>
      </c>
      <c r="G53" s="59">
        <f t="shared" si="8"/>
        <v>1.1443733861670553</v>
      </c>
    </row>
    <row r="54" ht="15.75" thickBot="1"/>
    <row r="55" spans="1:11" ht="42.75" customHeight="1" thickBot="1">
      <c r="A55" s="63" t="s">
        <v>57</v>
      </c>
      <c r="B55" s="2"/>
      <c r="C55" s="2" t="s">
        <v>1</v>
      </c>
      <c r="D55" s="2" t="s">
        <v>2</v>
      </c>
      <c r="E55" s="2" t="s">
        <v>3</v>
      </c>
      <c r="F55" s="2" t="s">
        <v>4</v>
      </c>
      <c r="G55" s="2" t="s">
        <v>5</v>
      </c>
      <c r="K55" s="62"/>
    </row>
    <row r="56" spans="1:7" ht="15">
      <c r="A56" s="43" t="s">
        <v>107</v>
      </c>
      <c r="B56" s="284"/>
      <c r="C56" s="284">
        <f>SUM(C57:C58)</f>
        <v>27144.6</v>
      </c>
      <c r="D56" s="284">
        <f>SUM(D57:D58)</f>
        <v>0</v>
      </c>
      <c r="E56" s="284">
        <f>SUM(E57:E58)</f>
        <v>0</v>
      </c>
      <c r="F56" s="284">
        <f>SUM(F57:F58)</f>
        <v>0</v>
      </c>
      <c r="G56" s="285">
        <f>SUM(G57:G58)</f>
        <v>0</v>
      </c>
    </row>
    <row r="57" spans="1:7" ht="15">
      <c r="A57" s="64" t="s">
        <v>59</v>
      </c>
      <c r="B57" s="270"/>
      <c r="C57" s="286">
        <v>20400</v>
      </c>
      <c r="D57" s="286"/>
      <c r="E57" s="9"/>
      <c r="F57" s="9"/>
      <c r="G57" s="262"/>
    </row>
    <row r="58" spans="1:7" ht="15">
      <c r="A58" s="64" t="s">
        <v>60</v>
      </c>
      <c r="B58" s="270"/>
      <c r="C58" s="286">
        <v>6744.6</v>
      </c>
      <c r="D58" s="286"/>
      <c r="E58" s="9"/>
      <c r="F58" s="9"/>
      <c r="G58" s="262"/>
    </row>
    <row r="59" spans="1:7" ht="13.5" customHeight="1">
      <c r="A59" s="43" t="s">
        <v>108</v>
      </c>
      <c r="B59" s="284"/>
      <c r="C59" s="284">
        <f>SUM(C60:C61)</f>
        <v>26122.48</v>
      </c>
      <c r="D59" s="284">
        <f>SUM(D60:D61)</f>
        <v>0</v>
      </c>
      <c r="E59" s="284">
        <f>SUM(E60:E61)</f>
        <v>0</v>
      </c>
      <c r="F59" s="284">
        <f>SUM(F60:F61)</f>
        <v>0</v>
      </c>
      <c r="G59" s="285">
        <f>SUM(G60:G61)</f>
        <v>0</v>
      </c>
    </row>
    <row r="60" spans="1:7" ht="13.5" customHeight="1">
      <c r="A60" s="64" t="s">
        <v>59</v>
      </c>
      <c r="B60" s="270"/>
      <c r="C60" s="286">
        <v>22204.1</v>
      </c>
      <c r="D60" s="286"/>
      <c r="E60" s="9"/>
      <c r="F60" s="9"/>
      <c r="G60" s="262"/>
    </row>
    <row r="61" spans="1:7" ht="13.5" customHeight="1">
      <c r="A61" s="64" t="s">
        <v>60</v>
      </c>
      <c r="B61" s="270"/>
      <c r="C61" s="286">
        <v>3918.38</v>
      </c>
      <c r="D61" s="286"/>
      <c r="E61" s="9"/>
      <c r="F61" s="9"/>
      <c r="G61" s="262"/>
    </row>
    <row r="62" spans="1:7" ht="13.5" customHeight="1">
      <c r="A62" s="43" t="s">
        <v>109</v>
      </c>
      <c r="B62" s="284"/>
      <c r="C62" s="284">
        <f>SUM(C63:C64)</f>
        <v>166239</v>
      </c>
      <c r="D62" s="284">
        <f>SUM(D63:D64)</f>
        <v>696722</v>
      </c>
      <c r="E62" s="284">
        <f>SUM(E63:E64)</f>
        <v>0</v>
      </c>
      <c r="F62" s="284">
        <f>SUM(F63:F64)</f>
        <v>0</v>
      </c>
      <c r="G62" s="285">
        <f>SUM(G63:G64)</f>
        <v>0</v>
      </c>
    </row>
    <row r="63" spans="1:7" ht="13.5" customHeight="1">
      <c r="A63" s="64" t="s">
        <v>59</v>
      </c>
      <c r="B63" s="270"/>
      <c r="C63" s="286">
        <v>50280</v>
      </c>
      <c r="D63" s="286">
        <f>486248+167184</f>
        <v>653432</v>
      </c>
      <c r="E63" s="9"/>
      <c r="F63" s="9"/>
      <c r="G63" s="262"/>
    </row>
    <row r="64" spans="1:7" ht="13.5" customHeight="1">
      <c r="A64" s="64" t="s">
        <v>60</v>
      </c>
      <c r="B64" s="270"/>
      <c r="C64" s="286">
        <v>115959</v>
      </c>
      <c r="D64" s="286">
        <f>210474-167184</f>
        <v>43290</v>
      </c>
      <c r="E64" s="9"/>
      <c r="F64" s="9"/>
      <c r="G64" s="262"/>
    </row>
    <row r="65" spans="1:7" ht="13.5" customHeight="1">
      <c r="A65" s="43" t="s">
        <v>110</v>
      </c>
      <c r="B65" s="284"/>
      <c r="C65" s="284">
        <f>SUM(C66:C67)</f>
        <v>15840</v>
      </c>
      <c r="D65" s="284">
        <f>SUM(D66:D67)</f>
        <v>198975</v>
      </c>
      <c r="E65" s="284">
        <f>SUM(E66:E67)</f>
        <v>50000</v>
      </c>
      <c r="F65" s="284">
        <f>SUM(F66:F67)</f>
        <v>40000</v>
      </c>
      <c r="G65" s="285">
        <f>SUM(G66:G67)</f>
        <v>25000</v>
      </c>
    </row>
    <row r="66" spans="1:7" ht="13.5" customHeight="1">
      <c r="A66" s="64" t="s">
        <v>59</v>
      </c>
      <c r="B66" s="270"/>
      <c r="C66" s="286">
        <v>0</v>
      </c>
      <c r="D66" s="286">
        <v>131431</v>
      </c>
      <c r="E66" s="9"/>
      <c r="F66" s="9"/>
      <c r="G66" s="262"/>
    </row>
    <row r="67" spans="1:21" ht="13.5" customHeight="1">
      <c r="A67" s="64" t="s">
        <v>60</v>
      </c>
      <c r="B67" s="270"/>
      <c r="C67" s="286">
        <v>15840</v>
      </c>
      <c r="D67" s="286">
        <f>59779+7765</f>
        <v>67544</v>
      </c>
      <c r="E67" s="9">
        <v>50000</v>
      </c>
      <c r="F67" s="9">
        <v>40000</v>
      </c>
      <c r="G67" s="262">
        <v>25000</v>
      </c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</row>
    <row r="68" spans="1:21" ht="13.5" customHeight="1">
      <c r="A68" s="65" t="s">
        <v>64</v>
      </c>
      <c r="B68" s="270"/>
      <c r="C68" s="9"/>
      <c r="D68" s="9"/>
      <c r="E68" s="9"/>
      <c r="F68" s="9"/>
      <c r="G68" s="2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</row>
    <row r="69" spans="1:7" ht="15">
      <c r="A69" s="65"/>
      <c r="B69" s="270"/>
      <c r="C69" s="9"/>
      <c r="D69" s="9"/>
      <c r="E69" s="9"/>
      <c r="F69" s="9"/>
      <c r="G69" s="262"/>
    </row>
    <row r="70" spans="1:7" ht="15">
      <c r="A70" s="43" t="s">
        <v>65</v>
      </c>
      <c r="B70" s="284"/>
      <c r="C70" s="284">
        <f>SUM(C71:C72)</f>
        <v>23496</v>
      </c>
      <c r="D70" s="284">
        <f>SUM(D71:D72)</f>
        <v>0</v>
      </c>
      <c r="E70" s="284">
        <f>SUM(E71:E72)</f>
        <v>0</v>
      </c>
      <c r="F70" s="284">
        <f>SUM(F71:F72)</f>
        <v>35000</v>
      </c>
      <c r="G70" s="285">
        <f>SUM(G71:G72)</f>
        <v>105000</v>
      </c>
    </row>
    <row r="71" spans="1:7" ht="15">
      <c r="A71" s="64" t="s">
        <v>59</v>
      </c>
      <c r="B71" s="270"/>
      <c r="C71" s="286">
        <v>22000</v>
      </c>
      <c r="D71" s="286"/>
      <c r="E71" s="9"/>
      <c r="F71" s="9"/>
      <c r="G71" s="262"/>
    </row>
    <row r="72" spans="1:8" s="66" customFormat="1" ht="15">
      <c r="A72" s="64" t="s">
        <v>60</v>
      </c>
      <c r="B72" s="270"/>
      <c r="C72" s="286">
        <v>1496</v>
      </c>
      <c r="D72" s="286"/>
      <c r="E72" s="9"/>
      <c r="F72" s="9">
        <v>35000</v>
      </c>
      <c r="G72" s="262">
        <f>55000+50000</f>
        <v>105000</v>
      </c>
      <c r="H72"/>
    </row>
    <row r="73" spans="1:8" s="66" customFormat="1" ht="15">
      <c r="A73" s="67" t="s">
        <v>66</v>
      </c>
      <c r="B73" s="287"/>
      <c r="C73" s="287">
        <f>SUM(C74:C75)</f>
        <v>258842.08</v>
      </c>
      <c r="D73" s="287">
        <f>SUM(D74:D75)</f>
        <v>895697</v>
      </c>
      <c r="E73" s="287">
        <f>SUM(E74:E75)</f>
        <v>50000</v>
      </c>
      <c r="F73" s="287">
        <f>SUM(F74:F75)</f>
        <v>75000</v>
      </c>
      <c r="G73" s="288">
        <f>SUM(G74:G75)</f>
        <v>130000</v>
      </c>
      <c r="H73"/>
    </row>
    <row r="74" spans="1:7" ht="15">
      <c r="A74" s="64" t="s">
        <v>59</v>
      </c>
      <c r="B74" s="270"/>
      <c r="C74" s="270">
        <f>C57+C60+C63+C66+C71</f>
        <v>114884.1</v>
      </c>
      <c r="D74" s="270">
        <f aca="true" t="shared" si="9" ref="D74:G75">D57+D60+D63+D66+D71</f>
        <v>784863</v>
      </c>
      <c r="E74" s="270">
        <f t="shared" si="9"/>
        <v>0</v>
      </c>
      <c r="F74" s="270">
        <f t="shared" si="9"/>
        <v>0</v>
      </c>
      <c r="G74" s="289">
        <f t="shared" si="9"/>
        <v>0</v>
      </c>
    </row>
    <row r="75" spans="1:7" ht="15.75" thickBot="1">
      <c r="A75" s="64" t="s">
        <v>60</v>
      </c>
      <c r="B75" s="290"/>
      <c r="C75" s="290">
        <f>C58+C61+C64+C67+C72</f>
        <v>143957.97999999998</v>
      </c>
      <c r="D75" s="290">
        <f t="shared" si="9"/>
        <v>110834</v>
      </c>
      <c r="E75" s="290">
        <f t="shared" si="9"/>
        <v>50000</v>
      </c>
      <c r="F75" s="290">
        <f t="shared" si="9"/>
        <v>75000</v>
      </c>
      <c r="G75" s="291">
        <f t="shared" si="9"/>
        <v>130000</v>
      </c>
    </row>
    <row r="76" ht="19.5" customHeight="1">
      <c r="A76" s="68" t="s">
        <v>67</v>
      </c>
    </row>
    <row r="80" ht="15">
      <c r="C80" s="9"/>
    </row>
    <row r="87" ht="15">
      <c r="A87" s="60"/>
    </row>
  </sheetData>
  <sheetProtection/>
  <conditionalFormatting sqref="B47:G47 C20">
    <cfRule type="cellIs" priority="1" dxfId="10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96"/>
  <sheetViews>
    <sheetView tabSelected="1" zoomScalePageLayoutView="0" workbookViewId="0" topLeftCell="A1">
      <pane xSplit="1" ySplit="1" topLeftCell="B5" activePane="bottomRight" state="frozen"/>
      <selection pane="topLeft" activeCell="H14" sqref="H14"/>
      <selection pane="topRight" activeCell="H14" sqref="H14"/>
      <selection pane="bottomLeft" activeCell="H14" sqref="H14"/>
      <selection pane="bottomRight" activeCell="H14" sqref="H14"/>
    </sheetView>
  </sheetViews>
  <sheetFormatPr defaultColWidth="9.140625" defaultRowHeight="15"/>
  <cols>
    <col min="1" max="1" width="45.7109375" style="74" customWidth="1"/>
    <col min="2" max="2" width="14.8515625" style="74" customWidth="1"/>
    <col min="3" max="3" width="12.8515625" style="74" customWidth="1"/>
    <col min="4" max="4" width="10.421875" style="74" customWidth="1"/>
    <col min="5" max="5" width="12.28125" style="74" customWidth="1"/>
    <col min="6" max="6" width="12.00390625" style="74" customWidth="1"/>
    <col min="7" max="7" width="10.421875" style="74" customWidth="1"/>
    <col min="8" max="8" width="27.28125" style="0" customWidth="1"/>
    <col min="9" max="9" width="25.8515625" style="74" customWidth="1"/>
    <col min="10" max="10" width="10.8515625" style="74" customWidth="1"/>
    <col min="11" max="11" width="13.140625" style="74" customWidth="1"/>
    <col min="12" max="16384" width="9.140625" style="74" customWidth="1"/>
  </cols>
  <sheetData>
    <row r="1" spans="1:7" ht="48" customHeight="1" thickBot="1">
      <c r="A1" s="69" t="s">
        <v>69</v>
      </c>
      <c r="B1" s="70" t="s">
        <v>70</v>
      </c>
      <c r="C1" s="71" t="s">
        <v>71</v>
      </c>
      <c r="D1" s="71" t="s">
        <v>72</v>
      </c>
      <c r="E1" s="71" t="s">
        <v>73</v>
      </c>
      <c r="F1" s="71" t="s">
        <v>74</v>
      </c>
      <c r="G1" s="72" t="s">
        <v>75</v>
      </c>
    </row>
    <row r="2" spans="1:7" ht="15" customHeight="1">
      <c r="A2" s="75" t="s">
        <v>6</v>
      </c>
      <c r="B2" s="76">
        <f aca="true" t="shared" si="0" ref="B2:G2">B3+B7+B8+B12</f>
        <v>1817952.6199999999</v>
      </c>
      <c r="C2" s="77">
        <f t="shared" si="0"/>
        <v>1847583</v>
      </c>
      <c r="D2" s="77">
        <f t="shared" si="0"/>
        <v>2049019.4115696843</v>
      </c>
      <c r="E2" s="77">
        <f t="shared" si="0"/>
        <v>2103658.3738493323</v>
      </c>
      <c r="F2" s="77">
        <f t="shared" si="0"/>
        <v>2165279.906097304</v>
      </c>
      <c r="G2" s="78">
        <f t="shared" si="0"/>
        <v>2227922.941760978</v>
      </c>
    </row>
    <row r="3" spans="1:7" ht="15.75">
      <c r="A3" s="79" t="s">
        <v>7</v>
      </c>
      <c r="B3" s="80">
        <f aca="true" t="shared" si="1" ref="B3:G3">SUM(B4:B6)</f>
        <v>1141141</v>
      </c>
      <c r="C3" s="81">
        <f t="shared" si="1"/>
        <v>1188362</v>
      </c>
      <c r="D3" s="81">
        <f t="shared" si="1"/>
        <v>1254923.7415696841</v>
      </c>
      <c r="E3" s="81">
        <f t="shared" si="1"/>
        <v>1299798.843749332</v>
      </c>
      <c r="F3" s="81">
        <f t="shared" si="1"/>
        <v>1351380.4590943041</v>
      </c>
      <c r="G3" s="82">
        <f t="shared" si="1"/>
        <v>1403699.4079378883</v>
      </c>
    </row>
    <row r="4" spans="1:7" ht="15.75">
      <c r="A4" s="79" t="s">
        <v>8</v>
      </c>
      <c r="B4" s="83">
        <v>1066053</v>
      </c>
      <c r="C4" s="84">
        <v>1114362</v>
      </c>
      <c r="D4" s="85">
        <v>1180923.7415696841</v>
      </c>
      <c r="E4" s="85">
        <v>1225798.843749332</v>
      </c>
      <c r="F4" s="85">
        <v>1277380.4590943041</v>
      </c>
      <c r="G4" s="86">
        <v>1329699.4079378883</v>
      </c>
    </row>
    <row r="5" spans="1:7" ht="15.75">
      <c r="A5" s="79" t="s">
        <v>9</v>
      </c>
      <c r="B5" s="83">
        <v>75088</v>
      </c>
      <c r="C5" s="84">
        <v>74000</v>
      </c>
      <c r="D5" s="85">
        <v>74000</v>
      </c>
      <c r="E5" s="85">
        <v>74000</v>
      </c>
      <c r="F5" s="85">
        <v>74000</v>
      </c>
      <c r="G5" s="86">
        <v>74000</v>
      </c>
    </row>
    <row r="6" spans="1:7" ht="15.75" hidden="1">
      <c r="A6" s="79" t="s">
        <v>10</v>
      </c>
      <c r="B6" s="83">
        <v>0</v>
      </c>
      <c r="C6" s="84">
        <v>0</v>
      </c>
      <c r="D6" s="85"/>
      <c r="E6" s="85"/>
      <c r="F6" s="85"/>
      <c r="G6" s="86"/>
    </row>
    <row r="7" spans="1:7" ht="15.75">
      <c r="A7" s="79" t="s">
        <v>11</v>
      </c>
      <c r="B7" s="83">
        <v>145867</v>
      </c>
      <c r="C7" s="84">
        <v>162489</v>
      </c>
      <c r="D7" s="85">
        <v>297363.67000000004</v>
      </c>
      <c r="E7" s="85">
        <v>306284.5801000001</v>
      </c>
      <c r="F7" s="85">
        <v>315473.1175030001</v>
      </c>
      <c r="G7" s="86">
        <v>324937.3110280901</v>
      </c>
    </row>
    <row r="8" spans="1:7" ht="15.75">
      <c r="A8" s="79" t="s">
        <v>12</v>
      </c>
      <c r="B8" s="87">
        <v>516775.88</v>
      </c>
      <c r="C8" s="81">
        <v>493532</v>
      </c>
      <c r="D8" s="81">
        <v>493532</v>
      </c>
      <c r="E8" s="81">
        <v>494374.95</v>
      </c>
      <c r="F8" s="81">
        <v>495226.3295</v>
      </c>
      <c r="G8" s="82">
        <v>496086.222795</v>
      </c>
    </row>
    <row r="9" spans="1:10" ht="15.75">
      <c r="A9" s="79" t="s">
        <v>13</v>
      </c>
      <c r="B9" s="87">
        <v>0</v>
      </c>
      <c r="C9" s="88">
        <v>0</v>
      </c>
      <c r="D9" s="88">
        <v>0</v>
      </c>
      <c r="E9" s="88">
        <v>0</v>
      </c>
      <c r="F9" s="88">
        <v>0</v>
      </c>
      <c r="G9" s="82">
        <v>0</v>
      </c>
      <c r="I9" s="73"/>
      <c r="J9" s="73"/>
    </row>
    <row r="10" spans="1:7" ht="15.75">
      <c r="A10" s="79" t="s">
        <v>14</v>
      </c>
      <c r="B10" s="83">
        <v>417072</v>
      </c>
      <c r="C10" s="84">
        <v>409237</v>
      </c>
      <c r="D10" s="85">
        <v>409237</v>
      </c>
      <c r="E10" s="85">
        <v>409237</v>
      </c>
      <c r="F10" s="85">
        <v>409237</v>
      </c>
      <c r="G10" s="86">
        <v>409237</v>
      </c>
    </row>
    <row r="11" spans="1:7" ht="15.75">
      <c r="A11" s="79" t="s">
        <v>15</v>
      </c>
      <c r="B11" s="83">
        <v>99703.88</v>
      </c>
      <c r="C11" s="84">
        <v>84295</v>
      </c>
      <c r="D11" s="85">
        <v>84295</v>
      </c>
      <c r="E11" s="85">
        <v>85137.95</v>
      </c>
      <c r="F11" s="85">
        <v>85989.32949999999</v>
      </c>
      <c r="G11" s="86">
        <v>86849.222795</v>
      </c>
    </row>
    <row r="12" spans="1:7" ht="15.75">
      <c r="A12" s="79" t="s">
        <v>16</v>
      </c>
      <c r="B12" s="83">
        <v>14168.74</v>
      </c>
      <c r="C12" s="84">
        <v>3200</v>
      </c>
      <c r="D12" s="85">
        <v>3200</v>
      </c>
      <c r="E12" s="85">
        <v>3200</v>
      </c>
      <c r="F12" s="85">
        <v>3200</v>
      </c>
      <c r="G12" s="86">
        <v>3200</v>
      </c>
    </row>
    <row r="13" spans="1:7" ht="15.75">
      <c r="A13" s="89" t="s">
        <v>17</v>
      </c>
      <c r="B13" s="90">
        <v>1566310.2999999998</v>
      </c>
      <c r="C13" s="91">
        <v>1734434</v>
      </c>
      <c r="D13" s="92">
        <v>1854935.8932</v>
      </c>
      <c r="E13" s="92">
        <v>1895283.969996</v>
      </c>
      <c r="F13" s="92">
        <v>1948692.48909588</v>
      </c>
      <c r="G13" s="93">
        <v>1963553.2637687563</v>
      </c>
    </row>
    <row r="14" spans="1:7" ht="15.75">
      <c r="A14" s="79" t="s">
        <v>18</v>
      </c>
      <c r="B14" s="83">
        <v>203355.63999999998</v>
      </c>
      <c r="C14" s="84">
        <v>228428</v>
      </c>
      <c r="D14" s="85">
        <v>125000</v>
      </c>
      <c r="E14" s="85">
        <v>130000</v>
      </c>
      <c r="F14" s="85">
        <v>135000</v>
      </c>
      <c r="G14" s="86">
        <v>140000</v>
      </c>
    </row>
    <row r="15" spans="1:10" ht="15.75">
      <c r="A15" s="79" t="s">
        <v>19</v>
      </c>
      <c r="B15" s="83">
        <v>1362954.66</v>
      </c>
      <c r="C15" s="84">
        <v>1506006</v>
      </c>
      <c r="D15" s="94">
        <v>1729935.8932</v>
      </c>
      <c r="E15" s="94">
        <v>1765283.969996</v>
      </c>
      <c r="F15" s="94">
        <v>1813692.48909588</v>
      </c>
      <c r="G15" s="95">
        <v>1823553.2637687563</v>
      </c>
      <c r="I15" s="96"/>
      <c r="J15" s="96"/>
    </row>
    <row r="16" spans="1:10" ht="15.75">
      <c r="A16" s="79" t="s">
        <v>20</v>
      </c>
      <c r="B16" s="83">
        <v>825150.32</v>
      </c>
      <c r="C16" s="84">
        <v>889240</v>
      </c>
      <c r="D16" s="85">
        <v>970702</v>
      </c>
      <c r="E16" s="85">
        <v>999823.06</v>
      </c>
      <c r="F16" s="85">
        <v>1029817.7518000001</v>
      </c>
      <c r="G16" s="86">
        <v>1060712.2843540001</v>
      </c>
      <c r="I16" s="98">
        <v>0.03</v>
      </c>
      <c r="J16" s="97">
        <v>0.03</v>
      </c>
    </row>
    <row r="17" spans="1:10" ht="15.75">
      <c r="A17" s="79" t="s">
        <v>21</v>
      </c>
      <c r="B17" s="83">
        <v>519157.1</v>
      </c>
      <c r="C17" s="84">
        <v>565574</v>
      </c>
      <c r="D17" s="85">
        <v>725027.2359999999</v>
      </c>
      <c r="E17" s="85">
        <v>730228.05308</v>
      </c>
      <c r="F17" s="85">
        <v>747584.8946724</v>
      </c>
      <c r="G17" s="86">
        <v>725462.441512572</v>
      </c>
      <c r="I17"/>
      <c r="J17" s="96"/>
    </row>
    <row r="18" spans="1:10" ht="15.75">
      <c r="A18" s="99" t="s">
        <v>76</v>
      </c>
      <c r="B18" s="100"/>
      <c r="C18" s="94"/>
      <c r="D18" s="85"/>
      <c r="E18" s="85"/>
      <c r="F18" s="85"/>
      <c r="G18" s="86"/>
      <c r="I18"/>
      <c r="J18" s="96"/>
    </row>
    <row r="19" spans="1:9" ht="15.75">
      <c r="A19" s="79" t="s">
        <v>23</v>
      </c>
      <c r="B19" s="83">
        <v>18647.24</v>
      </c>
      <c r="C19" s="84">
        <v>51192</v>
      </c>
      <c r="D19" s="85">
        <v>34206.6572</v>
      </c>
      <c r="E19" s="85">
        <v>35232.856916000004</v>
      </c>
      <c r="F19" s="85">
        <v>36289.842623480006</v>
      </c>
      <c r="G19" s="86">
        <v>37378.537902184406</v>
      </c>
      <c r="I19"/>
    </row>
    <row r="20" spans="1:10" ht="15.75">
      <c r="A20" s="296" t="s">
        <v>24</v>
      </c>
      <c r="B20" s="301">
        <v>251642.32000000007</v>
      </c>
      <c r="C20" s="302">
        <v>113149</v>
      </c>
      <c r="D20" s="302">
        <v>194083.51836968423</v>
      </c>
      <c r="E20" s="302">
        <v>208374.4038533324</v>
      </c>
      <c r="F20" s="302">
        <v>216587.41700142412</v>
      </c>
      <c r="G20" s="303">
        <v>264369.6779922219</v>
      </c>
      <c r="I20"/>
      <c r="J20" s="73"/>
    </row>
    <row r="21" spans="1:10" ht="15.75">
      <c r="A21" s="101" t="s">
        <v>25</v>
      </c>
      <c r="B21" s="90">
        <v>-120263.75000000001</v>
      </c>
      <c r="C21" s="91">
        <v>-128362</v>
      </c>
      <c r="D21" s="91">
        <v>-275222</v>
      </c>
      <c r="E21" s="91">
        <v>-341317</v>
      </c>
      <c r="F21" s="91">
        <v>-195817</v>
      </c>
      <c r="G21" s="93">
        <v>-308317</v>
      </c>
      <c r="I21"/>
      <c r="J21" s="73"/>
    </row>
    <row r="22" spans="1:10" ht="12.75" customHeight="1">
      <c r="A22" s="102" t="s">
        <v>26</v>
      </c>
      <c r="B22" s="83">
        <v>0</v>
      </c>
      <c r="C22" s="84">
        <v>0</v>
      </c>
      <c r="D22" s="85">
        <v>0</v>
      </c>
      <c r="E22" s="85">
        <v>0</v>
      </c>
      <c r="F22" s="85">
        <v>0</v>
      </c>
      <c r="G22" s="86">
        <v>0</v>
      </c>
      <c r="I22"/>
      <c r="J22" s="73"/>
    </row>
    <row r="23" spans="1:9" ht="12.75" customHeight="1">
      <c r="A23" s="102" t="s">
        <v>27</v>
      </c>
      <c r="B23" s="83">
        <v>-440723.09</v>
      </c>
      <c r="C23" s="83">
        <v>-127455</v>
      </c>
      <c r="D23" s="103">
        <v>-508693</v>
      </c>
      <c r="E23" s="103">
        <v>-1541917</v>
      </c>
      <c r="F23" s="103">
        <v>-1181917</v>
      </c>
      <c r="G23" s="104">
        <v>-781917</v>
      </c>
      <c r="I23"/>
    </row>
    <row r="24" spans="1:9" ht="15.75">
      <c r="A24" s="105" t="s">
        <v>28</v>
      </c>
      <c r="B24" s="106">
        <v>-74905</v>
      </c>
      <c r="C24" s="103">
        <v>-79034</v>
      </c>
      <c r="D24" s="103">
        <v>-256737</v>
      </c>
      <c r="E24" s="103">
        <v>-321917</v>
      </c>
      <c r="F24" s="103">
        <v>-161917</v>
      </c>
      <c r="G24" s="104">
        <v>-261917</v>
      </c>
      <c r="I24"/>
    </row>
    <row r="25" spans="1:14" ht="12.75" customHeight="1">
      <c r="A25" s="107" t="s">
        <v>29</v>
      </c>
      <c r="B25" s="83">
        <v>357739.89</v>
      </c>
      <c r="C25" s="84">
        <v>48421</v>
      </c>
      <c r="D25" s="9">
        <v>251956</v>
      </c>
      <c r="E25" s="9">
        <v>1220000</v>
      </c>
      <c r="F25" s="9">
        <v>1020000</v>
      </c>
      <c r="G25" s="9">
        <v>520000</v>
      </c>
      <c r="I25"/>
      <c r="J25"/>
      <c r="K25"/>
      <c r="L25"/>
      <c r="M25"/>
      <c r="N25"/>
    </row>
    <row r="26" spans="1:9" ht="12.75" customHeight="1">
      <c r="A26" s="102" t="s">
        <v>30</v>
      </c>
      <c r="B26" s="83">
        <v>-20581.35</v>
      </c>
      <c r="C26" s="84">
        <v>-27550</v>
      </c>
      <c r="D26" s="85">
        <v>-9000</v>
      </c>
      <c r="E26" s="85">
        <v>0</v>
      </c>
      <c r="F26" s="85">
        <v>-10000</v>
      </c>
      <c r="G26" s="86">
        <v>-20000</v>
      </c>
      <c r="I26"/>
    </row>
    <row r="27" spans="1:10" ht="12.75" customHeight="1">
      <c r="A27" s="108" t="s">
        <v>31</v>
      </c>
      <c r="B27" s="83">
        <v>0</v>
      </c>
      <c r="C27" s="84">
        <v>0</v>
      </c>
      <c r="D27" s="85">
        <v>0</v>
      </c>
      <c r="E27" s="85">
        <v>0</v>
      </c>
      <c r="F27" s="85">
        <v>0</v>
      </c>
      <c r="G27" s="86">
        <v>0</v>
      </c>
      <c r="I27"/>
      <c r="J27" s="73"/>
    </row>
    <row r="28" spans="1:7" ht="12.75" customHeight="1">
      <c r="A28" s="108" t="s">
        <v>32</v>
      </c>
      <c r="B28" s="83">
        <v>-32.17</v>
      </c>
      <c r="C28" s="84">
        <v>-10944</v>
      </c>
      <c r="D28" s="85">
        <v>0</v>
      </c>
      <c r="E28" s="85"/>
      <c r="F28" s="85"/>
      <c r="G28" s="86"/>
    </row>
    <row r="29" spans="1:7" ht="12.75" customHeight="1">
      <c r="A29" s="109" t="s">
        <v>33</v>
      </c>
      <c r="B29" s="110">
        <v>0</v>
      </c>
      <c r="C29" s="111">
        <v>0</v>
      </c>
      <c r="D29" s="85">
        <v>0</v>
      </c>
      <c r="E29" s="85">
        <v>0</v>
      </c>
      <c r="F29" s="85">
        <v>0</v>
      </c>
      <c r="G29" s="86">
        <v>0</v>
      </c>
    </row>
    <row r="30" spans="1:7" ht="12.75" customHeight="1">
      <c r="A30" s="112" t="s">
        <v>34</v>
      </c>
      <c r="B30" s="83">
        <v>0</v>
      </c>
      <c r="C30" s="84">
        <v>0</v>
      </c>
      <c r="D30" s="113">
        <v>0</v>
      </c>
      <c r="E30" s="85">
        <v>0</v>
      </c>
      <c r="F30" s="85">
        <v>0</v>
      </c>
      <c r="G30" s="86">
        <v>0</v>
      </c>
    </row>
    <row r="31" spans="1:7" ht="12.75" customHeight="1">
      <c r="A31" s="114" t="s">
        <v>35</v>
      </c>
      <c r="B31" s="115">
        <v>259.11</v>
      </c>
      <c r="C31" s="116">
        <v>780</v>
      </c>
      <c r="D31" s="85">
        <v>200</v>
      </c>
      <c r="E31" s="85">
        <v>200</v>
      </c>
      <c r="F31" s="85">
        <v>200</v>
      </c>
      <c r="G31" s="86">
        <v>200</v>
      </c>
    </row>
    <row r="32" spans="1:7" ht="15.75">
      <c r="A32" s="114" t="s">
        <v>36</v>
      </c>
      <c r="B32" s="83">
        <v>-16926.14</v>
      </c>
      <c r="C32" s="84">
        <v>-11614</v>
      </c>
      <c r="D32" s="85">
        <v>-9685</v>
      </c>
      <c r="E32" s="85">
        <v>-19600</v>
      </c>
      <c r="F32" s="85">
        <v>-24100</v>
      </c>
      <c r="G32" s="86">
        <v>-26600</v>
      </c>
    </row>
    <row r="33" spans="1:7" ht="15.75">
      <c r="A33" s="101" t="s">
        <v>37</v>
      </c>
      <c r="B33" s="90">
        <v>131378.57000000007</v>
      </c>
      <c r="C33" s="92">
        <v>-15213</v>
      </c>
      <c r="D33" s="92">
        <v>-81138.48163031577</v>
      </c>
      <c r="E33" s="92">
        <v>-132942.5961466676</v>
      </c>
      <c r="F33" s="92">
        <v>20770.417001424124</v>
      </c>
      <c r="G33" s="93">
        <v>-43947.3220077781</v>
      </c>
    </row>
    <row r="34" spans="1:7" ht="15.75">
      <c r="A34" s="101" t="s">
        <v>38</v>
      </c>
      <c r="B34" s="90">
        <v>-132942.89</v>
      </c>
      <c r="C34" s="92">
        <v>-137171</v>
      </c>
      <c r="D34" s="92">
        <v>105255</v>
      </c>
      <c r="E34" s="92">
        <v>150140</v>
      </c>
      <c r="F34" s="92">
        <v>-500</v>
      </c>
      <c r="G34" s="93">
        <v>69500</v>
      </c>
    </row>
    <row r="35" spans="1:7" ht="15.75">
      <c r="A35" s="117" t="s">
        <v>39</v>
      </c>
      <c r="B35" s="83">
        <v>0</v>
      </c>
      <c r="C35" s="84">
        <v>0</v>
      </c>
      <c r="D35" s="85">
        <v>560000</v>
      </c>
      <c r="E35" s="85">
        <v>280000</v>
      </c>
      <c r="F35" s="85">
        <v>150000</v>
      </c>
      <c r="G35" s="86">
        <v>250000</v>
      </c>
    </row>
    <row r="36" spans="1:7" ht="15.75">
      <c r="A36" s="117" t="s">
        <v>40</v>
      </c>
      <c r="B36" s="83">
        <v>-132942.89</v>
      </c>
      <c r="C36" s="84">
        <v>-137171</v>
      </c>
      <c r="D36" s="85">
        <v>-454745</v>
      </c>
      <c r="E36" s="85">
        <v>-129860</v>
      </c>
      <c r="F36" s="85">
        <v>-150500</v>
      </c>
      <c r="G36" s="86">
        <v>-180500</v>
      </c>
    </row>
    <row r="37" spans="1:7" ht="31.5">
      <c r="A37" s="118" t="s">
        <v>41</v>
      </c>
      <c r="B37" s="87">
        <v>-1564.32</v>
      </c>
      <c r="C37" s="88">
        <v>-152384</v>
      </c>
      <c r="D37" s="119">
        <v>24116.51836968423</v>
      </c>
      <c r="E37" s="119">
        <v>17197.40385333239</v>
      </c>
      <c r="F37" s="119">
        <v>20270.417001424124</v>
      </c>
      <c r="G37" s="120">
        <v>25552.6779922219</v>
      </c>
    </row>
    <row r="38" spans="1:7" ht="13.5" customHeight="1">
      <c r="A38" s="118" t="s">
        <v>42</v>
      </c>
      <c r="B38" s="83">
        <v>0</v>
      </c>
      <c r="C38" s="84">
        <v>0</v>
      </c>
      <c r="D38" s="85"/>
      <c r="E38" s="85"/>
      <c r="F38" s="85"/>
      <c r="G38" s="86"/>
    </row>
    <row r="39" spans="1:7" ht="14.25" customHeight="1">
      <c r="A39" s="121"/>
      <c r="B39" s="122"/>
      <c r="C39" s="123"/>
      <c r="D39" s="124"/>
      <c r="E39" s="124"/>
      <c r="F39" s="124"/>
      <c r="G39" s="125"/>
    </row>
    <row r="40" spans="1:7" ht="17.25" customHeight="1" thickBot="1">
      <c r="A40" s="126" t="s">
        <v>43</v>
      </c>
      <c r="B40" s="127">
        <v>152406.89</v>
      </c>
      <c r="C40" s="128">
        <v>22.89000000001397</v>
      </c>
      <c r="D40" s="129">
        <v>24139.408369684243</v>
      </c>
      <c r="E40" s="130">
        <v>41336.812223016634</v>
      </c>
      <c r="F40" s="130">
        <v>61607.22922444076</v>
      </c>
      <c r="G40" s="130">
        <v>87159.90721666266</v>
      </c>
    </row>
    <row r="41" spans="1:9" ht="15.75">
      <c r="A41" s="131" t="s">
        <v>44</v>
      </c>
      <c r="B41" s="132">
        <v>622395.02</v>
      </c>
      <c r="C41" s="133">
        <v>485224.02</v>
      </c>
      <c r="D41" s="133">
        <v>590479.02</v>
      </c>
      <c r="E41" s="85">
        <v>740619.02</v>
      </c>
      <c r="F41" s="85">
        <v>740119.02</v>
      </c>
      <c r="G41" s="86">
        <v>809619.02</v>
      </c>
      <c r="I41"/>
    </row>
    <row r="42" spans="1:7" ht="15.75">
      <c r="A42" s="134" t="s">
        <v>45</v>
      </c>
      <c r="B42" s="135">
        <v>0</v>
      </c>
      <c r="C42" s="136">
        <v>0</v>
      </c>
      <c r="D42" s="85"/>
      <c r="E42" s="85"/>
      <c r="F42" s="85"/>
      <c r="G42" s="137"/>
    </row>
    <row r="43" spans="1:7" ht="15.75">
      <c r="A43" s="118" t="s">
        <v>77</v>
      </c>
      <c r="B43" s="87">
        <f aca="true" t="shared" si="2" ref="B43:G43">IF(B41-B40&lt;0,0,B41-B40)</f>
        <v>469988.13</v>
      </c>
      <c r="C43" s="88">
        <f t="shared" si="2"/>
        <v>485201.13</v>
      </c>
      <c r="D43" s="88">
        <f>IF(D41-D40&lt;0,0,D41-D40)</f>
        <v>566339.6116303158</v>
      </c>
      <c r="E43" s="88">
        <f t="shared" si="2"/>
        <v>699282.2077769834</v>
      </c>
      <c r="F43" s="88">
        <f t="shared" si="2"/>
        <v>678511.7907755593</v>
      </c>
      <c r="G43" s="82">
        <f t="shared" si="2"/>
        <v>722459.1127833374</v>
      </c>
    </row>
    <row r="44" spans="1:7" ht="15.75">
      <c r="A44" s="118" t="s">
        <v>78</v>
      </c>
      <c r="B44" s="138">
        <f aca="true" t="shared" si="3" ref="B44:G44">B43/B2</f>
        <v>0.25852606103672826</v>
      </c>
      <c r="C44" s="139">
        <f t="shared" si="3"/>
        <v>0.26261398270064185</v>
      </c>
      <c r="D44" s="139">
        <f t="shared" si="3"/>
        <v>0.27639543502248337</v>
      </c>
      <c r="E44" s="139">
        <f t="shared" si="3"/>
        <v>0.33241243752778044</v>
      </c>
      <c r="F44" s="139">
        <f>F43/F2</f>
        <v>0.31335985193642124</v>
      </c>
      <c r="G44" s="140">
        <f t="shared" si="3"/>
        <v>0.3242747310696018</v>
      </c>
    </row>
    <row r="45" spans="1:7" ht="15.75">
      <c r="A45" s="118" t="s">
        <v>79</v>
      </c>
      <c r="B45" s="87">
        <f aca="true" t="shared" si="4" ref="B45:G45">IF((B20+B18)*6&gt;B2,B2+B42,IF((B20+B18)*6&lt;0.6*B2,0.6*B2+B42,(B20+B18)*6+B42))</f>
        <v>1509853.9200000004</v>
      </c>
      <c r="C45" s="88">
        <f t="shared" si="4"/>
        <v>1108549.8</v>
      </c>
      <c r="D45" s="88">
        <f t="shared" si="4"/>
        <v>1229411.6469418106</v>
      </c>
      <c r="E45" s="88">
        <f t="shared" si="4"/>
        <v>1262195.0243095993</v>
      </c>
      <c r="F45" s="88">
        <f t="shared" si="4"/>
        <v>1299524.5020085447</v>
      </c>
      <c r="G45" s="82">
        <f t="shared" si="4"/>
        <v>1586218.0679533314</v>
      </c>
    </row>
    <row r="46" spans="1:7" ht="15.75">
      <c r="A46" s="118" t="s">
        <v>80</v>
      </c>
      <c r="B46" s="138">
        <f aca="true" t="shared" si="5" ref="B46:G46">B45/B2</f>
        <v>0.8305243510691717</v>
      </c>
      <c r="C46" s="139">
        <f t="shared" si="5"/>
        <v>0.6</v>
      </c>
      <c r="D46" s="139">
        <f t="shared" si="5"/>
        <v>0.6</v>
      </c>
      <c r="E46" s="139">
        <f t="shared" si="5"/>
        <v>0.6</v>
      </c>
      <c r="F46" s="139">
        <f t="shared" si="5"/>
        <v>0.6001646707888242</v>
      </c>
      <c r="G46" s="140">
        <f t="shared" si="5"/>
        <v>0.711971692656284</v>
      </c>
    </row>
    <row r="47" spans="1:7" ht="16.5" thickBot="1">
      <c r="A47" s="141" t="s">
        <v>50</v>
      </c>
      <c r="B47" s="142">
        <f aca="true" t="shared" si="6" ref="B47:G47">B45-B43</f>
        <v>1039865.7900000004</v>
      </c>
      <c r="C47" s="143">
        <f t="shared" si="6"/>
        <v>623348.67</v>
      </c>
      <c r="D47" s="143">
        <f t="shared" si="6"/>
        <v>663072.0353114948</v>
      </c>
      <c r="E47" s="143">
        <f t="shared" si="6"/>
        <v>562912.8165326159</v>
      </c>
      <c r="F47" s="143">
        <f t="shared" si="6"/>
        <v>621012.7112329855</v>
      </c>
      <c r="G47" s="144">
        <f t="shared" si="6"/>
        <v>863758.955169994</v>
      </c>
    </row>
    <row r="48" spans="1:7" ht="15.75" hidden="1">
      <c r="A48" s="145"/>
      <c r="B48" s="146"/>
      <c r="C48" s="147"/>
      <c r="D48" s="147"/>
      <c r="E48" s="147"/>
      <c r="F48" s="147"/>
      <c r="G48" s="148"/>
    </row>
    <row r="49" spans="1:9" s="153" customFormat="1" ht="17.25" customHeight="1" thickBot="1">
      <c r="A49" s="149" t="s">
        <v>51</v>
      </c>
      <c r="B49" s="150">
        <f aca="true" t="shared" si="7" ref="B49:G49">B33+B34-B37+B38</f>
        <v>5.1159076974727213E-11</v>
      </c>
      <c r="C49" s="150">
        <f>C33+C34-C37+C38</f>
        <v>0</v>
      </c>
      <c r="D49" s="150">
        <f>D33+D34-D37+D38</f>
        <v>0</v>
      </c>
      <c r="E49" s="150">
        <f t="shared" si="7"/>
        <v>0</v>
      </c>
      <c r="F49" s="150">
        <f t="shared" si="7"/>
        <v>0</v>
      </c>
      <c r="G49" s="151">
        <f t="shared" si="7"/>
        <v>0</v>
      </c>
      <c r="H49"/>
      <c r="I49" s="152"/>
    </row>
    <row r="50" spans="1:7" ht="15.75">
      <c r="A50" s="154"/>
      <c r="B50" s="155"/>
      <c r="C50" s="155"/>
      <c r="D50" s="155"/>
      <c r="E50" s="155"/>
      <c r="F50" s="155"/>
      <c r="G50" s="155"/>
    </row>
    <row r="51" spans="1:7" ht="15.75">
      <c r="A51" s="156" t="s">
        <v>52</v>
      </c>
      <c r="B51" s="157" t="s">
        <v>53</v>
      </c>
      <c r="C51" s="158">
        <f>C2/B2-1</f>
        <v>0.01629876360584137</v>
      </c>
      <c r="D51" s="158">
        <f>D2/C2-1</f>
        <v>0.10902698908232233</v>
      </c>
      <c r="E51" s="158">
        <f>E2/D2-1</f>
        <v>0.026665907590299964</v>
      </c>
      <c r="F51" s="158">
        <f>F2/E2-1</f>
        <v>0.029292556725935892</v>
      </c>
      <c r="G51" s="158">
        <f>G2/F2-1</f>
        <v>0.02893068719996661</v>
      </c>
    </row>
    <row r="52" spans="1:7" ht="15.75">
      <c r="A52" s="156" t="s">
        <v>54</v>
      </c>
      <c r="B52" s="157" t="s">
        <v>53</v>
      </c>
      <c r="C52" s="158">
        <f>C13/B13-1</f>
        <v>0.10733741583644063</v>
      </c>
      <c r="D52" s="158">
        <f>D13/C13-1</f>
        <v>0.06947620560943801</v>
      </c>
      <c r="E52" s="158">
        <f>E13/D13-1</f>
        <v>0.021751736512249042</v>
      </c>
      <c r="F52" s="158">
        <f>F13/E13-1</f>
        <v>0.028179692302253034</v>
      </c>
      <c r="G52" s="158">
        <f>G13/F13-1</f>
        <v>0.007626023477809607</v>
      </c>
    </row>
    <row r="53" spans="1:7" ht="15.75">
      <c r="A53" s="156" t="s">
        <v>55</v>
      </c>
      <c r="B53" s="159">
        <f aca="true" t="shared" si="8" ref="B53:G53">B2/B13</f>
        <v>1.1606593023106597</v>
      </c>
      <c r="C53" s="159">
        <f t="shared" si="8"/>
        <v>1.065236843834934</v>
      </c>
      <c r="D53" s="159">
        <f t="shared" si="8"/>
        <v>1.1046308495518222</v>
      </c>
      <c r="E53" s="159">
        <f t="shared" si="8"/>
        <v>1.109943632274678</v>
      </c>
      <c r="F53" s="159">
        <f t="shared" si="8"/>
        <v>1.111144995022746</v>
      </c>
      <c r="G53" s="159">
        <f t="shared" si="8"/>
        <v>1.1346384041983169</v>
      </c>
    </row>
    <row r="54" spans="9:10" ht="16.5" thickBot="1">
      <c r="I54"/>
      <c r="J54"/>
    </row>
    <row r="55" spans="1:10" ht="16.5" thickBot="1">
      <c r="A55" s="160" t="s">
        <v>81</v>
      </c>
      <c r="B55" s="70">
        <v>2011</v>
      </c>
      <c r="C55" s="71">
        <v>2012</v>
      </c>
      <c r="D55" s="71">
        <v>2013</v>
      </c>
      <c r="E55" s="71">
        <v>2014</v>
      </c>
      <c r="F55" s="71">
        <v>2015</v>
      </c>
      <c r="G55" s="72">
        <v>2016</v>
      </c>
      <c r="I55"/>
      <c r="J55"/>
    </row>
    <row r="56" spans="1:7" ht="15.75">
      <c r="A56" s="161" t="s">
        <v>82</v>
      </c>
      <c r="B56" s="162">
        <f aca="true" t="shared" si="9" ref="B56:G56">SUM(B57:B58)</f>
        <v>328318</v>
      </c>
      <c r="C56" s="163">
        <f t="shared" si="9"/>
        <v>53421</v>
      </c>
      <c r="D56" s="163">
        <f t="shared" si="9"/>
        <v>20000</v>
      </c>
      <c r="E56" s="163">
        <f t="shared" si="9"/>
        <v>550000</v>
      </c>
      <c r="F56" s="163">
        <f t="shared" si="9"/>
        <v>550000</v>
      </c>
      <c r="G56" s="164">
        <f t="shared" si="9"/>
        <v>0</v>
      </c>
    </row>
    <row r="57" spans="1:7" ht="15.75">
      <c r="A57" s="165" t="s">
        <v>59</v>
      </c>
      <c r="B57" s="166">
        <v>273407</v>
      </c>
      <c r="C57" s="167">
        <f>18421</f>
        <v>18421</v>
      </c>
      <c r="D57" s="167"/>
      <c r="E57" s="85">
        <v>500000</v>
      </c>
      <c r="F57" s="85">
        <v>500000</v>
      </c>
      <c r="G57" s="86"/>
    </row>
    <row r="58" spans="1:7" ht="15.75">
      <c r="A58" s="165" t="s">
        <v>60</v>
      </c>
      <c r="B58" s="166">
        <f>328318-B57</f>
        <v>54911</v>
      </c>
      <c r="C58" s="167">
        <v>35000</v>
      </c>
      <c r="D58" s="167">
        <v>20000</v>
      </c>
      <c r="E58" s="85">
        <v>50000</v>
      </c>
      <c r="F58" s="85">
        <v>50000</v>
      </c>
      <c r="G58" s="86"/>
    </row>
    <row r="59" spans="1:7" ht="31.5">
      <c r="A59" s="161" t="s">
        <v>83</v>
      </c>
      <c r="B59" s="162">
        <f aca="true" t="shared" si="10" ref="B59:G59">SUM(B60:B61)</f>
        <v>0</v>
      </c>
      <c r="C59" s="163">
        <f t="shared" si="10"/>
        <v>0</v>
      </c>
      <c r="D59" s="163">
        <f t="shared" si="10"/>
        <v>0</v>
      </c>
      <c r="E59" s="163">
        <f t="shared" si="10"/>
        <v>900000</v>
      </c>
      <c r="F59" s="163">
        <f t="shared" si="10"/>
        <v>600000</v>
      </c>
      <c r="G59" s="164">
        <f t="shared" si="10"/>
        <v>0</v>
      </c>
    </row>
    <row r="60" spans="1:7" ht="13.5" customHeight="1">
      <c r="A60" s="165" t="s">
        <v>59</v>
      </c>
      <c r="B60" s="166"/>
      <c r="C60" s="167"/>
      <c r="D60" s="167"/>
      <c r="E60" s="85">
        <v>700000</v>
      </c>
      <c r="F60" s="85">
        <v>500000</v>
      </c>
      <c r="G60" s="86"/>
    </row>
    <row r="61" spans="1:7" ht="13.5" customHeight="1">
      <c r="A61" s="165" t="s">
        <v>60</v>
      </c>
      <c r="B61" s="166"/>
      <c r="C61" s="167"/>
      <c r="D61" s="167"/>
      <c r="E61" s="85">
        <v>200000</v>
      </c>
      <c r="F61" s="85">
        <v>100000</v>
      </c>
      <c r="G61" s="86"/>
    </row>
    <row r="62" spans="1:7" ht="13.5" customHeight="1">
      <c r="A62" s="161" t="s">
        <v>84</v>
      </c>
      <c r="B62" s="162">
        <f aca="true" t="shared" si="11" ref="B62:G62">SUM(B63:B64)</f>
        <v>0</v>
      </c>
      <c r="C62" s="163">
        <f t="shared" si="11"/>
        <v>0</v>
      </c>
      <c r="D62" s="163">
        <f t="shared" si="11"/>
        <v>150000</v>
      </c>
      <c r="E62" s="163">
        <f t="shared" si="11"/>
        <v>0</v>
      </c>
      <c r="F62" s="163">
        <f t="shared" si="11"/>
        <v>0</v>
      </c>
      <c r="G62" s="164">
        <f t="shared" si="11"/>
        <v>750000</v>
      </c>
    </row>
    <row r="63" spans="1:7" ht="13.5" customHeight="1">
      <c r="A63" s="165" t="s">
        <v>59</v>
      </c>
      <c r="B63" s="166"/>
      <c r="C63" s="167"/>
      <c r="D63" s="167"/>
      <c r="E63" s="85"/>
      <c r="F63" s="85"/>
      <c r="G63" s="86">
        <v>500000</v>
      </c>
    </row>
    <row r="64" spans="1:7" ht="13.5" customHeight="1">
      <c r="A64" s="165" t="s">
        <v>60</v>
      </c>
      <c r="B64" s="166"/>
      <c r="C64" s="167"/>
      <c r="D64" s="167">
        <f>10000+140000</f>
        <v>150000</v>
      </c>
      <c r="E64" s="85"/>
      <c r="F64" s="85"/>
      <c r="G64" s="86">
        <v>250000</v>
      </c>
    </row>
    <row r="65" spans="1:7" ht="13.5" customHeight="1">
      <c r="A65" s="161" t="s">
        <v>85</v>
      </c>
      <c r="B65" s="162">
        <f aca="true" t="shared" si="12" ref="B65:G65">SUM(B66:B67)</f>
        <v>0</v>
      </c>
      <c r="C65" s="163">
        <f t="shared" si="12"/>
        <v>0</v>
      </c>
      <c r="D65" s="163">
        <f t="shared" si="12"/>
        <v>230000</v>
      </c>
      <c r="E65" s="163">
        <f t="shared" si="12"/>
        <v>0</v>
      </c>
      <c r="F65" s="163">
        <f t="shared" si="12"/>
        <v>0</v>
      </c>
      <c r="G65" s="164">
        <f t="shared" si="12"/>
        <v>0</v>
      </c>
    </row>
    <row r="66" spans="1:7" ht="13.5" customHeight="1">
      <c r="A66" s="165" t="s">
        <v>59</v>
      </c>
      <c r="B66" s="166"/>
      <c r="C66" s="167"/>
      <c r="D66" s="167">
        <v>200000</v>
      </c>
      <c r="E66" s="167"/>
      <c r="F66" s="167"/>
      <c r="G66" s="168"/>
    </row>
    <row r="67" spans="1:21" ht="13.5" customHeight="1">
      <c r="A67" s="165" t="s">
        <v>60</v>
      </c>
      <c r="B67" s="166"/>
      <c r="C67" s="167">
        <v>0</v>
      </c>
      <c r="D67" s="167">
        <f>30000</f>
        <v>30000</v>
      </c>
      <c r="E67" s="85"/>
      <c r="F67" s="85"/>
      <c r="G67" s="86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</row>
    <row r="68" spans="1:21" ht="13.5" customHeight="1">
      <c r="A68" s="161" t="s">
        <v>86</v>
      </c>
      <c r="B68" s="162">
        <f aca="true" t="shared" si="13" ref="B68:G68">SUM(B69:B70)</f>
        <v>0</v>
      </c>
      <c r="C68" s="163">
        <f t="shared" si="13"/>
        <v>0</v>
      </c>
      <c r="D68" s="163">
        <f t="shared" si="13"/>
        <v>30000</v>
      </c>
      <c r="E68" s="163">
        <f t="shared" si="13"/>
        <v>30000</v>
      </c>
      <c r="F68" s="163">
        <f t="shared" si="13"/>
        <v>0</v>
      </c>
      <c r="G68" s="164">
        <f t="shared" si="13"/>
        <v>0</v>
      </c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</row>
    <row r="69" spans="1:21" ht="13.5" customHeight="1">
      <c r="A69" s="165" t="s">
        <v>59</v>
      </c>
      <c r="B69" s="166"/>
      <c r="C69" s="167"/>
      <c r="D69" s="167"/>
      <c r="E69" s="167"/>
      <c r="F69" s="167"/>
      <c r="G69" s="168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</row>
    <row r="70" spans="1:21" ht="13.5" customHeight="1">
      <c r="A70" s="165" t="s">
        <v>60</v>
      </c>
      <c r="B70" s="166"/>
      <c r="C70" s="167">
        <v>0</v>
      </c>
      <c r="D70" s="85">
        <v>30000</v>
      </c>
      <c r="E70" s="85">
        <v>30000</v>
      </c>
      <c r="F70" s="85"/>
      <c r="G70" s="86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</row>
    <row r="71" spans="1:7" ht="13.5" customHeight="1" hidden="1">
      <c r="A71" s="169" t="s">
        <v>87</v>
      </c>
      <c r="B71" s="162">
        <f aca="true" t="shared" si="14" ref="B71:G71">SUM(B72:B73)</f>
        <v>0</v>
      </c>
      <c r="C71" s="163">
        <f t="shared" si="14"/>
        <v>0</v>
      </c>
      <c r="D71" s="163">
        <f t="shared" si="14"/>
        <v>0</v>
      </c>
      <c r="E71" s="163">
        <f t="shared" si="14"/>
        <v>0</v>
      </c>
      <c r="F71" s="163">
        <f t="shared" si="14"/>
        <v>0</v>
      </c>
      <c r="G71" s="164">
        <f t="shared" si="14"/>
        <v>0</v>
      </c>
    </row>
    <row r="72" spans="1:7" ht="13.5" customHeight="1" hidden="1">
      <c r="A72" s="165" t="s">
        <v>59</v>
      </c>
      <c r="B72" s="166"/>
      <c r="C72" s="167"/>
      <c r="D72" s="167"/>
      <c r="E72" s="167"/>
      <c r="F72" s="167"/>
      <c r="G72" s="168"/>
    </row>
    <row r="73" spans="1:21" ht="13.5" customHeight="1" hidden="1">
      <c r="A73" s="165" t="s">
        <v>60</v>
      </c>
      <c r="B73" s="166"/>
      <c r="C73" s="167">
        <v>0</v>
      </c>
      <c r="D73" s="167"/>
      <c r="E73" s="85"/>
      <c r="F73" s="85"/>
      <c r="G73" s="86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</row>
    <row r="74" spans="1:7" ht="13.5" customHeight="1" hidden="1">
      <c r="A74" s="161" t="s">
        <v>88</v>
      </c>
      <c r="B74" s="162">
        <f aca="true" t="shared" si="15" ref="B74:G74">SUM(B75:B76)</f>
        <v>0</v>
      </c>
      <c r="C74" s="163">
        <f t="shared" si="15"/>
        <v>0</v>
      </c>
      <c r="D74" s="163">
        <f t="shared" si="15"/>
        <v>0</v>
      </c>
      <c r="E74" s="163">
        <f t="shared" si="15"/>
        <v>0</v>
      </c>
      <c r="F74" s="163">
        <f t="shared" si="15"/>
        <v>0</v>
      </c>
      <c r="G74" s="164">
        <f t="shared" si="15"/>
        <v>0</v>
      </c>
    </row>
    <row r="75" spans="1:7" ht="13.5" customHeight="1" hidden="1">
      <c r="A75" s="165" t="s">
        <v>59</v>
      </c>
      <c r="B75" s="166"/>
      <c r="C75" s="167"/>
      <c r="D75" s="167">
        <f>C75</f>
        <v>0</v>
      </c>
      <c r="E75" s="167">
        <f>D75</f>
        <v>0</v>
      </c>
      <c r="F75" s="167">
        <f>E75</f>
        <v>0</v>
      </c>
      <c r="G75" s="168">
        <f>F75</f>
        <v>0</v>
      </c>
    </row>
    <row r="76" spans="1:21" ht="13.5" customHeight="1" hidden="1">
      <c r="A76" s="165" t="s">
        <v>60</v>
      </c>
      <c r="B76" s="166"/>
      <c r="C76" s="167">
        <v>0</v>
      </c>
      <c r="D76" s="167"/>
      <c r="E76" s="85"/>
      <c r="F76" s="85"/>
      <c r="G76" s="86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</row>
    <row r="77" spans="1:21" ht="13.5" customHeight="1" hidden="1">
      <c r="A77" s="170" t="s">
        <v>64</v>
      </c>
      <c r="B77" s="166"/>
      <c r="C77" s="85"/>
      <c r="D77" s="85"/>
      <c r="E77" s="85"/>
      <c r="F77" s="85"/>
      <c r="G77" s="86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</row>
    <row r="78" spans="1:7" ht="15.75">
      <c r="A78" s="170"/>
      <c r="B78" s="166"/>
      <c r="C78" s="85"/>
      <c r="D78" s="85"/>
      <c r="E78" s="85"/>
      <c r="F78" s="85"/>
      <c r="G78" s="86"/>
    </row>
    <row r="79" spans="1:7" ht="15.75">
      <c r="A79" s="161" t="s">
        <v>65</v>
      </c>
      <c r="B79" s="162">
        <f aca="true" t="shared" si="16" ref="B79:G79">SUM(B80:B81)</f>
        <v>89931</v>
      </c>
      <c r="C79" s="163">
        <f t="shared" si="16"/>
        <v>74034</v>
      </c>
      <c r="D79" s="163">
        <f t="shared" si="16"/>
        <v>78693</v>
      </c>
      <c r="E79" s="163">
        <f t="shared" si="16"/>
        <v>61917</v>
      </c>
      <c r="F79" s="163">
        <f t="shared" si="16"/>
        <v>31917</v>
      </c>
      <c r="G79" s="164">
        <f t="shared" si="16"/>
        <v>31917</v>
      </c>
    </row>
    <row r="80" spans="1:7" ht="15.75">
      <c r="A80" s="165" t="s">
        <v>59</v>
      </c>
      <c r="B80" s="166">
        <f>47463+22474</f>
        <v>69937</v>
      </c>
      <c r="C80" s="167">
        <f>10000+20000</f>
        <v>30000</v>
      </c>
      <c r="D80" s="167">
        <f>31956+20000</f>
        <v>51956</v>
      </c>
      <c r="E80" s="85">
        <f>20000</f>
        <v>20000</v>
      </c>
      <c r="F80" s="85">
        <f>20000</f>
        <v>20000</v>
      </c>
      <c r="G80" s="86">
        <f>20000</f>
        <v>20000</v>
      </c>
    </row>
    <row r="81" spans="1:7" ht="15.75">
      <c r="A81" s="165" t="s">
        <v>60</v>
      </c>
      <c r="B81" s="166">
        <f>2434+9424+10273+1500+52599-B80+643+2666+10392</f>
        <v>19994</v>
      </c>
      <c r="C81" s="167">
        <f>6917+37000+117</f>
        <v>44034</v>
      </c>
      <c r="D81" s="167">
        <f>6917+14820+5000</f>
        <v>26737</v>
      </c>
      <c r="E81" s="167">
        <f>6917+30000+5000</f>
        <v>41917</v>
      </c>
      <c r="F81" s="167">
        <f>6917+5000</f>
        <v>11917</v>
      </c>
      <c r="G81" s="168">
        <f>6917+5000</f>
        <v>11917</v>
      </c>
    </row>
    <row r="82" spans="1:7" ht="15.75">
      <c r="A82" s="161" t="s">
        <v>66</v>
      </c>
      <c r="B82" s="162">
        <f aca="true" t="shared" si="17" ref="B82:G82">SUM(B83:B84)</f>
        <v>418249</v>
      </c>
      <c r="C82" s="163">
        <f t="shared" si="17"/>
        <v>127455</v>
      </c>
      <c r="D82" s="163">
        <f t="shared" si="17"/>
        <v>508693</v>
      </c>
      <c r="E82" s="163">
        <f t="shared" si="17"/>
        <v>1541917</v>
      </c>
      <c r="F82" s="163">
        <f t="shared" si="17"/>
        <v>1181917</v>
      </c>
      <c r="G82" s="164">
        <f t="shared" si="17"/>
        <v>781917</v>
      </c>
    </row>
    <row r="83" spans="1:7" ht="15.75">
      <c r="A83" s="165" t="s">
        <v>59</v>
      </c>
      <c r="B83" s="171">
        <f aca="true" t="shared" si="18" ref="B83:G84">B57+B60+B63+B66+B69+B72+B80+B75</f>
        <v>343344</v>
      </c>
      <c r="C83" s="119">
        <f t="shared" si="18"/>
        <v>48421</v>
      </c>
      <c r="D83" s="119">
        <f t="shared" si="18"/>
        <v>251956</v>
      </c>
      <c r="E83" s="119">
        <f t="shared" si="18"/>
        <v>1220000</v>
      </c>
      <c r="F83" s="119">
        <f t="shared" si="18"/>
        <v>1020000</v>
      </c>
      <c r="G83" s="120">
        <f t="shared" si="18"/>
        <v>520000</v>
      </c>
    </row>
    <row r="84" spans="1:7" ht="16.5" thickBot="1">
      <c r="A84" s="172" t="s">
        <v>60</v>
      </c>
      <c r="B84" s="173">
        <f t="shared" si="18"/>
        <v>74905</v>
      </c>
      <c r="C84" s="174">
        <f t="shared" si="18"/>
        <v>79034</v>
      </c>
      <c r="D84" s="174">
        <f t="shared" si="18"/>
        <v>256737</v>
      </c>
      <c r="E84" s="174">
        <f t="shared" si="18"/>
        <v>321917</v>
      </c>
      <c r="F84" s="174">
        <f t="shared" si="18"/>
        <v>161917</v>
      </c>
      <c r="G84" s="175">
        <f t="shared" si="18"/>
        <v>261917</v>
      </c>
    </row>
    <row r="85" ht="19.5" customHeight="1">
      <c r="A85" s="176" t="s">
        <v>67</v>
      </c>
    </row>
    <row r="87" ht="15.75">
      <c r="B87" s="177"/>
    </row>
    <row r="89" ht="15.75">
      <c r="C89" s="178"/>
    </row>
    <row r="96" ht="15.75">
      <c r="A96" s="153"/>
    </row>
  </sheetData>
  <sheetProtection/>
  <conditionalFormatting sqref="B47:G47 C20:G20">
    <cfRule type="cellIs" priority="3" dxfId="10" operator="lessThan" stopIfTrue="1">
      <formula>0</formula>
    </cfRule>
  </conditionalFormatting>
  <conditionalFormatting sqref="B20">
    <cfRule type="cellIs" priority="2" dxfId="2" operator="lessThan" stopIfTrue="1">
      <formula>0</formula>
    </cfRule>
  </conditionalFormatting>
  <conditionalFormatting sqref="D40:G40">
    <cfRule type="cellIs" priority="1" dxfId="1" operator="lessThan" stopIfTrue="1">
      <formula>0</formula>
    </cfRule>
  </conditionalFormatting>
  <hyperlinks>
    <hyperlink ref="IV341" r:id="rId1" display=" "/>
    <hyperlink ref="IV342" r:id="rId2" display=" "/>
    <hyperlink ref="IV343" r:id="rId3" display="http://piksel.ee/dogre/jogeva/index.php?module=32&amp;op=1&amp;id=5233"/>
    <hyperlink ref="IV344" r:id="rId4" display="http://piksel.ee/dogre/jogeva/index.php?module=32&amp;op=1&amp;id=5220"/>
    <hyperlink ref="IV345" r:id="rId5" display="http://piksel.ee/dogre/jogeva/index.php?module=266&amp;op=3&amp;id=26965"/>
    <hyperlink ref="IV346" r:id="rId6" display="http://piksel.ee/dogre/jogeva/index.php?module=32&amp;op=1&amp;id=5481"/>
    <hyperlink ref="IV272" r:id="rId7" display=" "/>
    <hyperlink ref="IV273" r:id="rId8" display="http://piksel.ee/dogre/jogeva/index.php?module=32&amp;op=1&amp;id=5233"/>
    <hyperlink ref="IV274" r:id="rId9" display="http://piksel.ee/dogre/jogeva/index.php?module=32&amp;op=1&amp;id=5220"/>
    <hyperlink ref="IV275" r:id="rId10" display="http://piksel.ee/dogre/jogeva/index.php?module=266&amp;op=3&amp;id=26965"/>
    <hyperlink ref="IV276" r:id="rId11" display="http://piksel.ee/dogre/jogeva/index.php?module=32&amp;op=1&amp;id=5481"/>
    <hyperlink ref="IV301" r:id="rId12" display=" "/>
    <hyperlink ref="IV302" r:id="rId13" display="http://piksel.ee/dogre/jogeva/index.php?module=32&amp;op=1&amp;id=5233"/>
    <hyperlink ref="IV303" r:id="rId14" display="http://piksel.ee/dogre/jogeva/index.php?module=32&amp;op=1&amp;id=5220"/>
    <hyperlink ref="IV304" r:id="rId15" display="http://piksel.ee/dogre/jogeva/index.php?module=266&amp;op=3&amp;id=26965"/>
    <hyperlink ref="IV305" r:id="rId16" display="http://piksel.ee/dogre/jogeva/index.php?module=32&amp;op=1&amp;id=5481"/>
    <hyperlink ref="IV278" r:id="rId17" display=" "/>
    <hyperlink ref="IV279" r:id="rId18" display="http://piksel.ee/dogre/jogeva/index.php?module=32&amp;op=1&amp;id=5233"/>
    <hyperlink ref="IV280" r:id="rId19" display="http://piksel.ee/dogre/jogeva/index.php?module=32&amp;op=1&amp;id=5220"/>
    <hyperlink ref="IV281" r:id="rId20" display="http://piksel.ee/dogre/jogeva/index.php?module=266&amp;op=3&amp;id=26965"/>
    <hyperlink ref="IV282" r:id="rId21" display="http://piksel.ee/dogre/jogeva/index.php?module=32&amp;op=1&amp;id=5481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87"/>
  <sheetViews>
    <sheetView tabSelected="1" zoomScalePageLayoutView="0" workbookViewId="0" topLeftCell="A1">
      <selection activeCell="H14" sqref="H14"/>
    </sheetView>
  </sheetViews>
  <sheetFormatPr defaultColWidth="9.140625" defaultRowHeight="15"/>
  <cols>
    <col min="1" max="1" width="44.140625" style="0" customWidth="1"/>
    <col min="2" max="2" width="9.00390625" style="0" customWidth="1"/>
    <col min="3" max="3" width="9.421875" style="0" customWidth="1"/>
    <col min="4" max="4" width="9.57421875" style="0" customWidth="1"/>
    <col min="5" max="5" width="10.28125" style="0" customWidth="1"/>
    <col min="6" max="6" width="10.00390625" style="0" customWidth="1"/>
    <col min="7" max="7" width="10.7109375" style="0" customWidth="1"/>
    <col min="8" max="8" width="36.140625" style="0" customWidth="1"/>
    <col min="9" max="9" width="25.57421875" style="0" customWidth="1"/>
    <col min="10" max="10" width="49.57421875" style="0" customWidth="1"/>
  </cols>
  <sheetData>
    <row r="1" spans="1:10" ht="48" customHeight="1" thickBot="1">
      <c r="A1" s="1" t="s">
        <v>96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I1" s="258" t="s">
        <v>90</v>
      </c>
      <c r="J1" s="259" t="s">
        <v>91</v>
      </c>
    </row>
    <row r="2" spans="1:9" ht="15" customHeight="1">
      <c r="A2" s="3" t="s">
        <v>6</v>
      </c>
      <c r="B2" s="4">
        <f aca="true" t="shared" si="0" ref="B2:G2">B3+B7+B8+B12</f>
        <v>1193993.59</v>
      </c>
      <c r="C2" s="4">
        <f t="shared" si="0"/>
        <v>1285112</v>
      </c>
      <c r="D2" s="4">
        <f t="shared" si="0"/>
        <v>1150026</v>
      </c>
      <c r="E2" s="4">
        <f t="shared" si="0"/>
        <v>1169840</v>
      </c>
      <c r="F2" s="4">
        <f t="shared" si="0"/>
        <v>1189461</v>
      </c>
      <c r="G2" s="5">
        <f t="shared" si="0"/>
        <v>1209520</v>
      </c>
      <c r="I2" s="260" t="s">
        <v>92</v>
      </c>
    </row>
    <row r="3" spans="1:7" ht="15">
      <c r="A3" s="6" t="s">
        <v>7</v>
      </c>
      <c r="B3" s="7">
        <f aca="true" t="shared" si="1" ref="B3:G3">SUM(B4:B6)</f>
        <v>787106</v>
      </c>
      <c r="C3" s="7">
        <f t="shared" si="1"/>
        <v>858738</v>
      </c>
      <c r="D3" s="7">
        <f t="shared" si="1"/>
        <v>806300</v>
      </c>
      <c r="E3" s="7">
        <f t="shared" si="1"/>
        <v>823900</v>
      </c>
      <c r="F3" s="7">
        <f t="shared" si="1"/>
        <v>842400</v>
      </c>
      <c r="G3" s="8">
        <f t="shared" si="1"/>
        <v>861350</v>
      </c>
    </row>
    <row r="4" spans="1:7" ht="15">
      <c r="A4" s="6" t="s">
        <v>8</v>
      </c>
      <c r="B4" s="261">
        <v>697009</v>
      </c>
      <c r="C4" s="261">
        <v>767858</v>
      </c>
      <c r="D4" s="9">
        <v>720500</v>
      </c>
      <c r="E4" s="9">
        <v>738000</v>
      </c>
      <c r="F4" s="9">
        <v>756500</v>
      </c>
      <c r="G4" s="262">
        <v>775450</v>
      </c>
    </row>
    <row r="5" spans="1:7" ht="15">
      <c r="A5" s="6" t="s">
        <v>9</v>
      </c>
      <c r="B5" s="261">
        <v>90097</v>
      </c>
      <c r="C5" s="261">
        <v>90880</v>
      </c>
      <c r="D5" s="9">
        <v>85800</v>
      </c>
      <c r="E5" s="9">
        <v>85900</v>
      </c>
      <c r="F5" s="9">
        <v>85900</v>
      </c>
      <c r="G5" s="262">
        <v>85900</v>
      </c>
    </row>
    <row r="6" spans="1:7" ht="15">
      <c r="A6" s="6" t="s">
        <v>10</v>
      </c>
      <c r="B6" s="261">
        <v>0</v>
      </c>
      <c r="C6" s="261">
        <v>0</v>
      </c>
      <c r="D6" s="9">
        <v>0</v>
      </c>
      <c r="E6" s="9">
        <v>0</v>
      </c>
      <c r="F6" s="9">
        <v>0</v>
      </c>
      <c r="G6" s="262">
        <v>0</v>
      </c>
    </row>
    <row r="7" spans="1:7" ht="15">
      <c r="A7" s="6" t="s">
        <v>11</v>
      </c>
      <c r="B7" s="263">
        <v>42549.03</v>
      </c>
      <c r="C7" s="263">
        <v>42136</v>
      </c>
      <c r="D7" s="9">
        <v>42200</v>
      </c>
      <c r="E7" s="9">
        <v>42400</v>
      </c>
      <c r="F7" s="9">
        <v>42500</v>
      </c>
      <c r="G7" s="262">
        <v>42700</v>
      </c>
    </row>
    <row r="8" spans="1:7" ht="15">
      <c r="A8" s="6" t="s">
        <v>12</v>
      </c>
      <c r="B8" s="10">
        <v>306587.5</v>
      </c>
      <c r="C8" s="7">
        <v>319778</v>
      </c>
      <c r="D8" s="7">
        <v>276526</v>
      </c>
      <c r="E8" s="7">
        <v>278540</v>
      </c>
      <c r="F8" s="7">
        <v>279561</v>
      </c>
      <c r="G8" s="8">
        <v>280470</v>
      </c>
    </row>
    <row r="9" spans="1:10" ht="15">
      <c r="A9" s="6" t="s">
        <v>13</v>
      </c>
      <c r="B9" s="263">
        <v>0</v>
      </c>
      <c r="C9" s="263">
        <v>2983</v>
      </c>
      <c r="D9" s="9">
        <v>3000</v>
      </c>
      <c r="E9" s="9">
        <v>3000</v>
      </c>
      <c r="F9" s="9">
        <v>3000</v>
      </c>
      <c r="G9" s="9">
        <v>3000</v>
      </c>
      <c r="I9" s="62"/>
      <c r="J9" s="62"/>
    </row>
    <row r="10" spans="1:7" ht="15">
      <c r="A10" s="6" t="s">
        <v>14</v>
      </c>
      <c r="B10" s="263">
        <v>231657</v>
      </c>
      <c r="C10" s="263">
        <v>249526</v>
      </c>
      <c r="D10" s="9">
        <v>246956</v>
      </c>
      <c r="E10" s="9">
        <v>248950</v>
      </c>
      <c r="F10" s="9">
        <v>249950</v>
      </c>
      <c r="G10" s="262">
        <v>250950</v>
      </c>
    </row>
    <row r="11" spans="1:7" ht="15">
      <c r="A11" s="6" t="s">
        <v>15</v>
      </c>
      <c r="B11" s="263">
        <v>74930.5</v>
      </c>
      <c r="C11" s="263">
        <v>67269</v>
      </c>
      <c r="D11" s="9">
        <v>26570</v>
      </c>
      <c r="E11" s="9">
        <v>26590</v>
      </c>
      <c r="F11" s="9">
        <v>26611</v>
      </c>
      <c r="G11" s="262">
        <v>26520</v>
      </c>
    </row>
    <row r="12" spans="1:7" ht="15">
      <c r="A12" s="6" t="s">
        <v>16</v>
      </c>
      <c r="B12" s="263">
        <v>57751.06</v>
      </c>
      <c r="C12" s="263">
        <v>64460</v>
      </c>
      <c r="D12" s="9">
        <v>25000</v>
      </c>
      <c r="E12" s="9">
        <v>25000</v>
      </c>
      <c r="F12" s="9">
        <v>25000</v>
      </c>
      <c r="G12" s="9">
        <v>25000</v>
      </c>
    </row>
    <row r="13" spans="1:7" ht="15">
      <c r="A13" s="11" t="s">
        <v>17</v>
      </c>
      <c r="B13" s="12">
        <v>1125214.24</v>
      </c>
      <c r="C13" s="12">
        <v>1098036</v>
      </c>
      <c r="D13" s="13">
        <v>1136419</v>
      </c>
      <c r="E13" s="13">
        <v>1145219</v>
      </c>
      <c r="F13" s="13">
        <v>1157680</v>
      </c>
      <c r="G13" s="14">
        <v>1170255</v>
      </c>
    </row>
    <row r="14" spans="1:7" ht="15">
      <c r="A14" s="6" t="s">
        <v>18</v>
      </c>
      <c r="B14" s="263">
        <v>128691.62000000001</v>
      </c>
      <c r="C14" s="263">
        <v>120243</v>
      </c>
      <c r="D14" s="9">
        <v>119709</v>
      </c>
      <c r="E14" s="9">
        <v>122709</v>
      </c>
      <c r="F14" s="9">
        <v>124800</v>
      </c>
      <c r="G14" s="262">
        <v>126895</v>
      </c>
    </row>
    <row r="15" spans="1:7" ht="15">
      <c r="A15" s="6" t="s">
        <v>19</v>
      </c>
      <c r="B15" s="10">
        <v>996522.62</v>
      </c>
      <c r="C15" s="10">
        <v>977793</v>
      </c>
      <c r="D15" s="264">
        <v>1016710</v>
      </c>
      <c r="E15" s="264">
        <v>1022510</v>
      </c>
      <c r="F15" s="264">
        <v>1032880</v>
      </c>
      <c r="G15" s="265">
        <v>1043360</v>
      </c>
    </row>
    <row r="16" spans="1:7" ht="15">
      <c r="A16" s="6" t="s">
        <v>20</v>
      </c>
      <c r="B16" s="263">
        <v>575153.04</v>
      </c>
      <c r="C16" s="263">
        <v>589860</v>
      </c>
      <c r="D16" s="9">
        <v>615860</v>
      </c>
      <c r="E16" s="9">
        <v>615860</v>
      </c>
      <c r="F16" s="9">
        <v>620230</v>
      </c>
      <c r="G16" s="262">
        <v>624660</v>
      </c>
    </row>
    <row r="17" spans="1:7" ht="15">
      <c r="A17" s="6" t="s">
        <v>21</v>
      </c>
      <c r="B17" s="263">
        <v>421224.13</v>
      </c>
      <c r="C17" s="263">
        <v>383677</v>
      </c>
      <c r="D17" s="9">
        <v>391400</v>
      </c>
      <c r="E17" s="9">
        <v>397200</v>
      </c>
      <c r="F17" s="9">
        <v>403200</v>
      </c>
      <c r="G17" s="262">
        <v>409250</v>
      </c>
    </row>
    <row r="18" spans="1:7" ht="15">
      <c r="A18" s="15" t="s">
        <v>22</v>
      </c>
      <c r="B18" s="266"/>
      <c r="C18" s="266"/>
      <c r="D18" s="267"/>
      <c r="E18" s="267"/>
      <c r="F18" s="267"/>
      <c r="G18" s="268"/>
    </row>
    <row r="19" spans="1:7" ht="15">
      <c r="A19" s="6" t="s">
        <v>23</v>
      </c>
      <c r="B19" s="263">
        <v>145.45</v>
      </c>
      <c r="C19" s="263">
        <v>4256</v>
      </c>
      <c r="D19" s="9">
        <v>9450</v>
      </c>
      <c r="E19" s="9">
        <v>9450</v>
      </c>
      <c r="F19" s="9">
        <v>9450</v>
      </c>
      <c r="G19" s="9">
        <v>9450</v>
      </c>
    </row>
    <row r="20" spans="1:10" ht="15">
      <c r="A20" s="297" t="s">
        <v>24</v>
      </c>
      <c r="B20" s="298">
        <v>68779.3500000001</v>
      </c>
      <c r="C20" s="299">
        <v>187076</v>
      </c>
      <c r="D20" s="299">
        <v>13607</v>
      </c>
      <c r="E20" s="299">
        <v>24621</v>
      </c>
      <c r="F20" s="299">
        <v>31781</v>
      </c>
      <c r="G20" s="300">
        <v>39265</v>
      </c>
      <c r="J20" s="62"/>
    </row>
    <row r="21" spans="1:10" ht="15">
      <c r="A21" s="20" t="s">
        <v>25</v>
      </c>
      <c r="B21" s="17">
        <v>-88969.40000000004</v>
      </c>
      <c r="C21" s="17">
        <v>-104169</v>
      </c>
      <c r="D21" s="17">
        <v>-55117</v>
      </c>
      <c r="E21" s="17">
        <v>-39852</v>
      </c>
      <c r="F21" s="17">
        <v>-39586</v>
      </c>
      <c r="G21" s="19">
        <v>-39200</v>
      </c>
      <c r="J21" s="62"/>
    </row>
    <row r="22" spans="1:10" ht="12.75" customHeight="1">
      <c r="A22" s="21" t="s">
        <v>26</v>
      </c>
      <c r="B22" s="263">
        <v>0</v>
      </c>
      <c r="C22" s="263">
        <v>0</v>
      </c>
      <c r="D22" s="9">
        <v>0</v>
      </c>
      <c r="E22" s="9">
        <v>0</v>
      </c>
      <c r="F22" s="9">
        <v>0</v>
      </c>
      <c r="G22" s="262">
        <v>0</v>
      </c>
      <c r="J22" s="62"/>
    </row>
    <row r="23" spans="1:10" ht="12.75" customHeight="1">
      <c r="A23" s="21" t="s">
        <v>27</v>
      </c>
      <c r="B23" s="263">
        <v>-329802.15</v>
      </c>
      <c r="C23" s="263">
        <v>-477778</v>
      </c>
      <c r="D23" s="269">
        <v>-82320</v>
      </c>
      <c r="E23" s="269">
        <v>-63000</v>
      </c>
      <c r="F23" s="269">
        <v>-63000</v>
      </c>
      <c r="G23" s="269">
        <v>-62700</v>
      </c>
      <c r="J23" s="62"/>
    </row>
    <row r="24" spans="1:10" ht="15">
      <c r="A24" s="22" t="s">
        <v>28</v>
      </c>
      <c r="B24" s="263"/>
      <c r="C24" s="269">
        <v>-116903</v>
      </c>
      <c r="D24" s="269">
        <v>-55000</v>
      </c>
      <c r="E24" s="269">
        <v>-40000</v>
      </c>
      <c r="F24" s="269">
        <v>-40000</v>
      </c>
      <c r="G24" s="269">
        <v>-39700</v>
      </c>
      <c r="J24" s="62"/>
    </row>
    <row r="25" spans="1:7" ht="12.75" customHeight="1">
      <c r="A25" s="23" t="s">
        <v>29</v>
      </c>
      <c r="B25" s="263">
        <v>249938.81</v>
      </c>
      <c r="C25" s="270">
        <v>377583</v>
      </c>
      <c r="D25" s="269">
        <v>27320</v>
      </c>
      <c r="E25" s="269">
        <v>23000</v>
      </c>
      <c r="F25" s="269">
        <v>23000</v>
      </c>
      <c r="G25" s="269">
        <v>23000</v>
      </c>
    </row>
    <row r="26" spans="1:7" ht="12.75" customHeight="1">
      <c r="A26" s="21" t="s">
        <v>30</v>
      </c>
      <c r="B26" s="263">
        <v>-7625</v>
      </c>
      <c r="C26" s="263">
        <v>-3199</v>
      </c>
      <c r="D26" s="9">
        <v>0</v>
      </c>
      <c r="E26" s="9">
        <v>0</v>
      </c>
      <c r="F26" s="9">
        <v>0</v>
      </c>
      <c r="G26" s="262">
        <v>0</v>
      </c>
    </row>
    <row r="27" spans="1:10" ht="12.75" customHeight="1">
      <c r="A27" s="24" t="s">
        <v>31</v>
      </c>
      <c r="B27" s="263">
        <v>0</v>
      </c>
      <c r="C27" s="263">
        <v>0</v>
      </c>
      <c r="D27" s="9"/>
      <c r="E27" s="9"/>
      <c r="F27" s="9"/>
      <c r="G27" s="262"/>
      <c r="J27" s="62"/>
    </row>
    <row r="28" spans="1:7" ht="12.75" customHeight="1">
      <c r="A28" s="24" t="s">
        <v>32</v>
      </c>
      <c r="B28" s="263">
        <v>-52.21</v>
      </c>
      <c r="C28" s="263">
        <v>0</v>
      </c>
      <c r="D28" s="9"/>
      <c r="E28" s="9"/>
      <c r="F28" s="9"/>
      <c r="G28" s="262"/>
    </row>
    <row r="29" spans="1:7" ht="12.75" customHeight="1">
      <c r="A29" s="25" t="s">
        <v>33</v>
      </c>
      <c r="B29" s="271">
        <v>0</v>
      </c>
      <c r="C29" s="271">
        <v>0</v>
      </c>
      <c r="D29" s="9"/>
      <c r="E29" s="9"/>
      <c r="F29" s="9"/>
      <c r="G29" s="262"/>
    </row>
    <row r="30" spans="1:7" ht="12.75" customHeight="1">
      <c r="A30" s="26" t="s">
        <v>34</v>
      </c>
      <c r="B30" s="263">
        <v>0</v>
      </c>
      <c r="C30" s="263">
        <v>0</v>
      </c>
      <c r="D30" s="272"/>
      <c r="E30" s="9"/>
      <c r="F30" s="9"/>
      <c r="G30" s="262"/>
    </row>
    <row r="31" spans="1:7" ht="12.75" customHeight="1">
      <c r="A31" s="27" t="s">
        <v>35</v>
      </c>
      <c r="B31" s="273">
        <v>336.47</v>
      </c>
      <c r="C31" s="273">
        <v>600</v>
      </c>
      <c r="D31" s="9">
        <v>500</v>
      </c>
      <c r="E31" s="9">
        <v>500</v>
      </c>
      <c r="F31" s="9">
        <v>500</v>
      </c>
      <c r="G31" s="9">
        <v>500</v>
      </c>
    </row>
    <row r="32" spans="1:7" ht="15">
      <c r="A32" s="27" t="s">
        <v>36</v>
      </c>
      <c r="B32" s="263">
        <v>-1765.32</v>
      </c>
      <c r="C32" s="263">
        <v>-1375</v>
      </c>
      <c r="D32" s="9">
        <v>-617</v>
      </c>
      <c r="E32" s="9">
        <v>-352</v>
      </c>
      <c r="F32" s="9">
        <v>-86</v>
      </c>
      <c r="G32" s="262">
        <v>0</v>
      </c>
    </row>
    <row r="33" spans="1:7" ht="15">
      <c r="A33" s="28" t="s">
        <v>37</v>
      </c>
      <c r="B33" s="17">
        <v>-20190.049999999945</v>
      </c>
      <c r="C33" s="18">
        <v>82907</v>
      </c>
      <c r="D33" s="18">
        <v>-41510</v>
      </c>
      <c r="E33" s="18">
        <v>-15231</v>
      </c>
      <c r="F33" s="18">
        <v>-7805</v>
      </c>
      <c r="G33" s="19">
        <v>65</v>
      </c>
    </row>
    <row r="34" spans="1:7" ht="15">
      <c r="A34" s="28" t="s">
        <v>38</v>
      </c>
      <c r="B34" s="17">
        <v>-41871.27</v>
      </c>
      <c r="C34" s="18">
        <v>-18400</v>
      </c>
      <c r="D34" s="18">
        <v>-18863</v>
      </c>
      <c r="E34" s="18">
        <v>-19339</v>
      </c>
      <c r="F34" s="18">
        <v>-14665</v>
      </c>
      <c r="G34" s="19">
        <v>0</v>
      </c>
    </row>
    <row r="35" spans="1:7" ht="15">
      <c r="A35" s="29" t="s">
        <v>39</v>
      </c>
      <c r="B35" s="263">
        <v>0</v>
      </c>
      <c r="C35" s="263">
        <v>0</v>
      </c>
      <c r="D35" s="9">
        <v>0</v>
      </c>
      <c r="E35" s="9">
        <v>0</v>
      </c>
      <c r="F35" s="9">
        <v>0</v>
      </c>
      <c r="G35" s="262">
        <v>0</v>
      </c>
    </row>
    <row r="36" spans="1:7" ht="15">
      <c r="A36" s="29" t="s">
        <v>40</v>
      </c>
      <c r="B36" s="263">
        <v>-41871.27</v>
      </c>
      <c r="C36" s="263">
        <v>-18400</v>
      </c>
      <c r="D36" s="9">
        <v>-18863</v>
      </c>
      <c r="E36" s="9">
        <v>-19339</v>
      </c>
      <c r="F36" s="9">
        <v>-14665</v>
      </c>
      <c r="G36" s="262">
        <v>0</v>
      </c>
    </row>
    <row r="37" spans="1:7" ht="26.25">
      <c r="A37" s="30" t="s">
        <v>41</v>
      </c>
      <c r="B37" s="263">
        <v>-62061.32</v>
      </c>
      <c r="C37" s="274">
        <v>64507</v>
      </c>
      <c r="D37" s="275">
        <v>-60373</v>
      </c>
      <c r="E37" s="276">
        <v>-34570</v>
      </c>
      <c r="F37" s="277">
        <v>-22470</v>
      </c>
      <c r="G37" s="278">
        <v>65</v>
      </c>
    </row>
    <row r="38" spans="1:7" ht="39">
      <c r="A38" s="30" t="s">
        <v>42</v>
      </c>
      <c r="B38" s="263">
        <v>0</v>
      </c>
      <c r="C38" s="263">
        <v>0</v>
      </c>
      <c r="D38" s="9"/>
      <c r="E38" s="9"/>
      <c r="F38" s="9"/>
      <c r="G38" s="262"/>
    </row>
    <row r="39" spans="1:7" ht="15">
      <c r="A39" s="31"/>
      <c r="B39" s="32"/>
      <c r="C39" s="32"/>
      <c r="D39" s="33"/>
      <c r="E39" s="33"/>
      <c r="F39" s="33"/>
      <c r="G39" s="34"/>
    </row>
    <row r="40" spans="1:7" ht="13.5" customHeight="1">
      <c r="A40" s="35" t="s">
        <v>43</v>
      </c>
      <c r="B40" s="279">
        <v>189303.34</v>
      </c>
      <c r="C40" s="36">
        <v>253810.34</v>
      </c>
      <c r="D40" s="37">
        <v>193437.34</v>
      </c>
      <c r="E40" s="38">
        <v>158867.34</v>
      </c>
      <c r="F40" s="39">
        <v>136397.34</v>
      </c>
      <c r="G40" s="40">
        <v>136462.34</v>
      </c>
    </row>
    <row r="41" spans="1:7" ht="15">
      <c r="A41" s="41" t="s">
        <v>44</v>
      </c>
      <c r="B41" s="280">
        <v>71266.56</v>
      </c>
      <c r="C41" s="280">
        <v>52866.56</v>
      </c>
      <c r="D41" s="281">
        <v>34003.56</v>
      </c>
      <c r="E41" s="281">
        <v>14664.559999999998</v>
      </c>
      <c r="F41" s="281">
        <v>-0.4400000000023283</v>
      </c>
      <c r="G41" s="281">
        <v>-0.4400000000023283</v>
      </c>
    </row>
    <row r="42" spans="1:7" ht="15">
      <c r="A42" s="42" t="s">
        <v>45</v>
      </c>
      <c r="B42" s="282">
        <v>0</v>
      </c>
      <c r="C42" s="282">
        <v>0</v>
      </c>
      <c r="D42" s="9"/>
      <c r="E42" s="9"/>
      <c r="F42" s="9"/>
      <c r="G42" s="283"/>
    </row>
    <row r="43" spans="1:7" ht="15">
      <c r="A43" s="43" t="s">
        <v>46</v>
      </c>
      <c r="B43" s="10">
        <f aca="true" t="shared" si="2" ref="B43:G43">IF(B41-B40&lt;0,0,B41-B40)</f>
        <v>0</v>
      </c>
      <c r="C43" s="10">
        <f t="shared" si="2"/>
        <v>0</v>
      </c>
      <c r="D43" s="10">
        <f t="shared" si="2"/>
        <v>0</v>
      </c>
      <c r="E43" s="10">
        <f t="shared" si="2"/>
        <v>0</v>
      </c>
      <c r="F43" s="10">
        <f t="shared" si="2"/>
        <v>0</v>
      </c>
      <c r="G43" s="8">
        <f t="shared" si="2"/>
        <v>0</v>
      </c>
    </row>
    <row r="44" spans="1:7" ht="15">
      <c r="A44" s="43" t="s">
        <v>47</v>
      </c>
      <c r="B44" s="44">
        <f aca="true" t="shared" si="3" ref="B44:G44">B43/B2</f>
        <v>0</v>
      </c>
      <c r="C44" s="45">
        <f t="shared" si="3"/>
        <v>0</v>
      </c>
      <c r="D44" s="45">
        <f t="shared" si="3"/>
        <v>0</v>
      </c>
      <c r="E44" s="45">
        <f t="shared" si="3"/>
        <v>0</v>
      </c>
      <c r="F44" s="45">
        <f t="shared" si="3"/>
        <v>0</v>
      </c>
      <c r="G44" s="46">
        <f t="shared" si="3"/>
        <v>0</v>
      </c>
    </row>
    <row r="45" spans="1:7" ht="15">
      <c r="A45" s="43" t="s">
        <v>48</v>
      </c>
      <c r="B45" s="10">
        <f aca="true" t="shared" si="4" ref="B45:G45">IF((B20+B18)*6&gt;B2,B2+B42,IF((B20+B18)*6&lt;0.6*B2,0.6*B2+B42,(B20+B18)*6+B42))</f>
        <v>716396.154</v>
      </c>
      <c r="C45" s="10">
        <f t="shared" si="4"/>
        <v>1122456</v>
      </c>
      <c r="D45" s="10">
        <f t="shared" si="4"/>
        <v>690015.6</v>
      </c>
      <c r="E45" s="10">
        <f t="shared" si="4"/>
        <v>701904</v>
      </c>
      <c r="F45" s="10">
        <f t="shared" si="4"/>
        <v>713676.6</v>
      </c>
      <c r="G45" s="8">
        <f t="shared" si="4"/>
        <v>725712</v>
      </c>
    </row>
    <row r="46" spans="1:7" ht="15">
      <c r="A46" s="43" t="s">
        <v>49</v>
      </c>
      <c r="B46" s="44">
        <f aca="true" t="shared" si="5" ref="B46:G46">B45/B2</f>
        <v>0.6</v>
      </c>
      <c r="C46" s="45">
        <f t="shared" si="5"/>
        <v>0.8734304869925734</v>
      </c>
      <c r="D46" s="45">
        <f t="shared" si="5"/>
        <v>0.6</v>
      </c>
      <c r="E46" s="45">
        <f t="shared" si="5"/>
        <v>0.6</v>
      </c>
      <c r="F46" s="45">
        <f t="shared" si="5"/>
        <v>0.6</v>
      </c>
      <c r="G46" s="46">
        <f t="shared" si="5"/>
        <v>0.6</v>
      </c>
    </row>
    <row r="47" spans="1:7" ht="15">
      <c r="A47" s="43" t="s">
        <v>50</v>
      </c>
      <c r="B47" s="10">
        <f aca="true" t="shared" si="6" ref="B47:G47">B45-B43</f>
        <v>716396.154</v>
      </c>
      <c r="C47" s="7">
        <f t="shared" si="6"/>
        <v>1122456</v>
      </c>
      <c r="D47" s="7">
        <f t="shared" si="6"/>
        <v>690015.6</v>
      </c>
      <c r="E47" s="7">
        <f t="shared" si="6"/>
        <v>701904</v>
      </c>
      <c r="F47" s="7">
        <f t="shared" si="6"/>
        <v>713676.6</v>
      </c>
      <c r="G47" s="8">
        <f t="shared" si="6"/>
        <v>725712</v>
      </c>
    </row>
    <row r="48" spans="1:7" ht="15">
      <c r="A48" s="47"/>
      <c r="B48" s="48"/>
      <c r="C48" s="49"/>
      <c r="D48" s="49"/>
      <c r="E48" s="49"/>
      <c r="F48" s="49"/>
      <c r="G48" s="50"/>
    </row>
    <row r="49" spans="1:9" s="60" customFormat="1" ht="15.75" thickBot="1">
      <c r="A49" s="51" t="s">
        <v>51</v>
      </c>
      <c r="B49" s="52">
        <f aca="true" t="shared" si="7" ref="B49:G49">B33+B34-B37+B38</f>
        <v>5.820766091346741E-11</v>
      </c>
      <c r="C49" s="52">
        <f>C33+C34-C37+C38</f>
        <v>0</v>
      </c>
      <c r="D49" s="52">
        <f>D33+D34-D37+D38</f>
        <v>0</v>
      </c>
      <c r="E49" s="52">
        <f t="shared" si="7"/>
        <v>0</v>
      </c>
      <c r="F49" s="52">
        <f t="shared" si="7"/>
        <v>0</v>
      </c>
      <c r="G49" s="53">
        <f t="shared" si="7"/>
        <v>0</v>
      </c>
      <c r="H49"/>
      <c r="I49" s="243"/>
    </row>
    <row r="50" spans="1:7" ht="15">
      <c r="A50" s="54"/>
      <c r="B50" s="55"/>
      <c r="C50" s="55"/>
      <c r="D50" s="55"/>
      <c r="E50" s="55"/>
      <c r="F50" s="55"/>
      <c r="G50" s="55"/>
    </row>
    <row r="51" spans="1:7" ht="15">
      <c r="A51" s="56" t="s">
        <v>52</v>
      </c>
      <c r="B51" s="57" t="s">
        <v>53</v>
      </c>
      <c r="C51" s="58">
        <f>C2/B2-1</f>
        <v>0.07631398590674165</v>
      </c>
      <c r="D51" s="58">
        <f>D2/C2-1</f>
        <v>-0.10511612995598829</v>
      </c>
      <c r="E51" s="58">
        <f>E2/D2-1</f>
        <v>0.017229175688201925</v>
      </c>
      <c r="F51" s="58">
        <f>F2/E2-1</f>
        <v>0.01677237912876972</v>
      </c>
      <c r="G51" s="58">
        <f>G2/F2-1</f>
        <v>0.01686394089423704</v>
      </c>
    </row>
    <row r="52" spans="1:7" ht="15">
      <c r="A52" s="56" t="s">
        <v>54</v>
      </c>
      <c r="B52" s="57" t="s">
        <v>53</v>
      </c>
      <c r="C52" s="58">
        <f>C13/B13-1</f>
        <v>-0.024153835806414947</v>
      </c>
      <c r="D52" s="58">
        <f>D13/C13-1</f>
        <v>0.03495604879985725</v>
      </c>
      <c r="E52" s="58">
        <f>E13/D13-1</f>
        <v>0.007743622730700617</v>
      </c>
      <c r="F52" s="58">
        <f>F13/E13-1</f>
        <v>0.01088088828424949</v>
      </c>
      <c r="G52" s="58">
        <f>G13/F13-1</f>
        <v>0.01086224172482897</v>
      </c>
    </row>
    <row r="53" spans="1:7" ht="15">
      <c r="A53" s="56" t="s">
        <v>55</v>
      </c>
      <c r="B53" s="59">
        <f aca="true" t="shared" si="8" ref="B53:G53">B2/B13</f>
        <v>1.0611255595201143</v>
      </c>
      <c r="C53" s="59">
        <f t="shared" si="8"/>
        <v>1.1703732846646193</v>
      </c>
      <c r="D53" s="59">
        <f t="shared" si="8"/>
        <v>1.0119735766473457</v>
      </c>
      <c r="E53" s="59">
        <f t="shared" si="8"/>
        <v>1.0214989447433198</v>
      </c>
      <c r="F53" s="59">
        <f t="shared" si="8"/>
        <v>1.0274523184299633</v>
      </c>
      <c r="G53" s="59">
        <f t="shared" si="8"/>
        <v>1.0335525163319106</v>
      </c>
    </row>
    <row r="54" ht="15.75" thickBot="1"/>
    <row r="55" spans="1:11" ht="42.75" customHeight="1" thickBot="1">
      <c r="A55" s="63" t="s">
        <v>57</v>
      </c>
      <c r="B55" s="2"/>
      <c r="C55" s="2" t="s">
        <v>1</v>
      </c>
      <c r="D55" s="2" t="s">
        <v>2</v>
      </c>
      <c r="E55" s="2" t="s">
        <v>3</v>
      </c>
      <c r="F55" s="2" t="s">
        <v>4</v>
      </c>
      <c r="G55" s="2" t="s">
        <v>5</v>
      </c>
      <c r="K55" s="62"/>
    </row>
    <row r="56" spans="1:7" ht="26.25">
      <c r="A56" s="43" t="s">
        <v>97</v>
      </c>
      <c r="B56" s="284"/>
      <c r="C56" s="284">
        <f>SUM(C57:C58)</f>
        <v>188169</v>
      </c>
      <c r="D56" s="284">
        <f>SUM(D57:D58)</f>
        <v>0</v>
      </c>
      <c r="E56" s="284">
        <f>SUM(E57:E58)</f>
        <v>0</v>
      </c>
      <c r="F56" s="284">
        <f>SUM(F57:F58)</f>
        <v>0</v>
      </c>
      <c r="G56" s="285">
        <f>SUM(G57:G58)</f>
        <v>0</v>
      </c>
    </row>
    <row r="57" spans="1:7" ht="15">
      <c r="A57" s="64" t="s">
        <v>59</v>
      </c>
      <c r="B57" s="270"/>
      <c r="C57" s="286">
        <v>159941</v>
      </c>
      <c r="D57" s="286"/>
      <c r="E57" s="9"/>
      <c r="F57" s="9"/>
      <c r="G57" s="262"/>
    </row>
    <row r="58" spans="1:7" ht="15">
      <c r="A58" s="64" t="s">
        <v>60</v>
      </c>
      <c r="B58" s="270"/>
      <c r="C58" s="286">
        <v>28228</v>
      </c>
      <c r="D58" s="286"/>
      <c r="E58" s="9"/>
      <c r="F58" s="9"/>
      <c r="G58" s="262"/>
    </row>
    <row r="59" spans="1:7" ht="25.5" customHeight="1">
      <c r="A59" s="43" t="s">
        <v>98</v>
      </c>
      <c r="B59" s="284"/>
      <c r="C59" s="284">
        <f>SUM(C60:C61)</f>
        <v>143878</v>
      </c>
      <c r="D59" s="284">
        <f>SUM(D60:D61)</f>
        <v>0</v>
      </c>
      <c r="E59" s="284">
        <f>SUM(E60:E61)</f>
        <v>0</v>
      </c>
      <c r="F59" s="284">
        <f>SUM(F60:F61)</f>
        <v>0</v>
      </c>
      <c r="G59" s="285">
        <f>SUM(G60:G61)</f>
        <v>0</v>
      </c>
    </row>
    <row r="60" spans="1:7" ht="13.5" customHeight="1">
      <c r="A60" s="64" t="s">
        <v>59</v>
      </c>
      <c r="B60" s="270"/>
      <c r="C60" s="286">
        <v>129490</v>
      </c>
      <c r="D60" s="286"/>
      <c r="E60" s="9"/>
      <c r="F60" s="9"/>
      <c r="G60" s="262"/>
    </row>
    <row r="61" spans="1:7" ht="13.5" customHeight="1">
      <c r="A61" s="64" t="s">
        <v>60</v>
      </c>
      <c r="B61" s="270"/>
      <c r="C61" s="286">
        <v>14388</v>
      </c>
      <c r="D61" s="286"/>
      <c r="E61" s="9"/>
      <c r="F61" s="9"/>
      <c r="G61" s="262"/>
    </row>
    <row r="62" spans="1:7" ht="26.25" customHeight="1">
      <c r="A62" s="43" t="s">
        <v>99</v>
      </c>
      <c r="B62" s="284"/>
      <c r="C62" s="284">
        <f>SUM(C63:C64)</f>
        <v>33155</v>
      </c>
      <c r="D62" s="284">
        <f>SUM(D63:D64)</f>
        <v>0</v>
      </c>
      <c r="E62" s="284">
        <f>SUM(E63:E64)</f>
        <v>0</v>
      </c>
      <c r="F62" s="284">
        <f>SUM(F63:F64)</f>
        <v>0</v>
      </c>
      <c r="G62" s="285">
        <f>SUM(G63:G64)</f>
        <v>0</v>
      </c>
    </row>
    <row r="63" spans="1:7" ht="13.5" customHeight="1">
      <c r="A63" s="64" t="s">
        <v>59</v>
      </c>
      <c r="B63" s="270"/>
      <c r="C63" s="286">
        <v>33155</v>
      </c>
      <c r="D63" s="286"/>
      <c r="E63" s="9"/>
      <c r="F63" s="9"/>
      <c r="G63" s="262"/>
    </row>
    <row r="64" spans="1:7" ht="13.5" customHeight="1">
      <c r="A64" s="64" t="s">
        <v>60</v>
      </c>
      <c r="B64" s="270"/>
      <c r="C64" s="286"/>
      <c r="D64" s="286"/>
      <c r="E64" s="9"/>
      <c r="F64" s="9"/>
      <c r="G64" s="262"/>
    </row>
    <row r="65" spans="1:7" ht="25.5" customHeight="1">
      <c r="A65" s="43" t="s">
        <v>100</v>
      </c>
      <c r="B65" s="284"/>
      <c r="C65" s="284">
        <f>SUM(C66:C67)</f>
        <v>17126</v>
      </c>
      <c r="D65" s="284">
        <f>SUM(D66:D67)</f>
        <v>0</v>
      </c>
      <c r="E65" s="284">
        <f>SUM(E66:E67)</f>
        <v>0</v>
      </c>
      <c r="F65" s="284">
        <f>SUM(F66:F67)</f>
        <v>0</v>
      </c>
      <c r="G65" s="285">
        <f>SUM(G66:G67)</f>
        <v>0</v>
      </c>
    </row>
    <row r="66" spans="1:7" ht="13.5" customHeight="1">
      <c r="A66" s="64" t="s">
        <v>59</v>
      </c>
      <c r="B66" s="270"/>
      <c r="C66" s="286">
        <v>14333</v>
      </c>
      <c r="D66" s="286"/>
      <c r="E66" s="9"/>
      <c r="F66" s="9"/>
      <c r="G66" s="262"/>
    </row>
    <row r="67" spans="1:21" ht="13.5" customHeight="1">
      <c r="A67" s="64" t="s">
        <v>60</v>
      </c>
      <c r="B67" s="270"/>
      <c r="C67" s="286">
        <v>2793</v>
      </c>
      <c r="D67" s="286"/>
      <c r="E67" s="9"/>
      <c r="F67" s="9"/>
      <c r="G67" s="2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</row>
    <row r="68" spans="1:21" ht="13.5" customHeight="1">
      <c r="A68" s="65" t="s">
        <v>64</v>
      </c>
      <c r="B68" s="270"/>
      <c r="C68" s="9"/>
      <c r="D68" s="9"/>
      <c r="E68" s="9"/>
      <c r="F68" s="9"/>
      <c r="G68" s="2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</row>
    <row r="69" spans="1:7" ht="15">
      <c r="A69" s="65"/>
      <c r="B69" s="270"/>
      <c r="C69" s="9"/>
      <c r="D69" s="9"/>
      <c r="E69" s="9"/>
      <c r="F69" s="9"/>
      <c r="G69" s="262"/>
    </row>
    <row r="70" spans="1:7" ht="15">
      <c r="A70" s="43" t="s">
        <v>65</v>
      </c>
      <c r="B70" s="284"/>
      <c r="C70" s="284">
        <f>SUM(C71:C72)</f>
        <v>95450</v>
      </c>
      <c r="D70" s="284">
        <f>SUM(D71:D72)</f>
        <v>82320</v>
      </c>
      <c r="E70" s="284">
        <f>SUM(E71:E72)</f>
        <v>63000</v>
      </c>
      <c r="F70" s="284">
        <f>SUM(F71:F72)</f>
        <v>63000</v>
      </c>
      <c r="G70" s="285">
        <f>SUM(G71:G72)</f>
        <v>62700</v>
      </c>
    </row>
    <row r="71" spans="1:7" ht="15">
      <c r="A71" s="64" t="s">
        <v>59</v>
      </c>
      <c r="B71" s="270"/>
      <c r="C71" s="286">
        <v>23956</v>
      </c>
      <c r="D71" s="286">
        <v>27320</v>
      </c>
      <c r="E71" s="9">
        <v>23000</v>
      </c>
      <c r="F71" s="9">
        <v>23000</v>
      </c>
      <c r="G71" s="262">
        <v>23000</v>
      </c>
    </row>
    <row r="72" spans="1:8" s="66" customFormat="1" ht="15">
      <c r="A72" s="64" t="s">
        <v>60</v>
      </c>
      <c r="B72" s="270"/>
      <c r="C72" s="286">
        <v>71494</v>
      </c>
      <c r="D72" s="286">
        <v>55000</v>
      </c>
      <c r="E72" s="9">
        <v>40000</v>
      </c>
      <c r="F72" s="9">
        <v>40000</v>
      </c>
      <c r="G72" s="262">
        <v>39700</v>
      </c>
      <c r="H72"/>
    </row>
    <row r="73" spans="1:8" s="66" customFormat="1" ht="15">
      <c r="A73" s="67" t="s">
        <v>66</v>
      </c>
      <c r="B73" s="287"/>
      <c r="C73" s="287">
        <f>SUM(C74:C75)</f>
        <v>477778</v>
      </c>
      <c r="D73" s="287">
        <f>SUM(D74:D75)</f>
        <v>82320</v>
      </c>
      <c r="E73" s="287">
        <f>SUM(E74:E75)</f>
        <v>63000</v>
      </c>
      <c r="F73" s="287">
        <f>SUM(F74:F75)</f>
        <v>63000</v>
      </c>
      <c r="G73" s="288">
        <f>SUM(G74:G75)</f>
        <v>62700</v>
      </c>
      <c r="H73"/>
    </row>
    <row r="74" spans="1:7" ht="15">
      <c r="A74" s="64" t="s">
        <v>59</v>
      </c>
      <c r="B74" s="270"/>
      <c r="C74" s="270">
        <f>C57+C60+C63+C66+C71</f>
        <v>360875</v>
      </c>
      <c r="D74" s="270">
        <f aca="true" t="shared" si="9" ref="D74:G75">D57+D60+D63+D66+D71</f>
        <v>27320</v>
      </c>
      <c r="E74" s="270">
        <f t="shared" si="9"/>
        <v>23000</v>
      </c>
      <c r="F74" s="270">
        <f t="shared" si="9"/>
        <v>23000</v>
      </c>
      <c r="G74" s="289">
        <f t="shared" si="9"/>
        <v>23000</v>
      </c>
    </row>
    <row r="75" spans="1:7" ht="15.75" thickBot="1">
      <c r="A75" s="64" t="s">
        <v>60</v>
      </c>
      <c r="B75" s="290"/>
      <c r="C75" s="290">
        <f>C58+C61+C64+C67+C72</f>
        <v>116903</v>
      </c>
      <c r="D75" s="290">
        <f t="shared" si="9"/>
        <v>55000</v>
      </c>
      <c r="E75" s="290">
        <f t="shared" si="9"/>
        <v>40000</v>
      </c>
      <c r="F75" s="290">
        <f t="shared" si="9"/>
        <v>40000</v>
      </c>
      <c r="G75" s="291">
        <f t="shared" si="9"/>
        <v>39700</v>
      </c>
    </row>
    <row r="76" ht="19.5" customHeight="1">
      <c r="A76" s="68" t="s">
        <v>67</v>
      </c>
    </row>
    <row r="80" ht="15">
      <c r="C80" s="9"/>
    </row>
    <row r="87" ht="15">
      <c r="A87" s="60"/>
    </row>
  </sheetData>
  <sheetProtection/>
  <conditionalFormatting sqref="B47:G47 C20">
    <cfRule type="cellIs" priority="1" dxfId="10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Rahandusministeerium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kerstis</dc:creator>
  <cp:keywords/>
  <dc:description/>
  <cp:lastModifiedBy>Katrin Sarapuu</cp:lastModifiedBy>
  <dcterms:created xsi:type="dcterms:W3CDTF">2012-09-05T12:31:24Z</dcterms:created>
  <dcterms:modified xsi:type="dcterms:W3CDTF">2013-03-13T09:04:13Z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